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资产管理\询价函\黄埔实验家具\挂网\"/>
    </mc:Choice>
  </mc:AlternateContent>
  <bookViews>
    <workbookView xWindow="-105" yWindow="-105" windowWidth="19425" windowHeight="10425"/>
  </bookViews>
  <sheets>
    <sheet name="实验室家具 (2)" sheetId="4" r:id="rId1"/>
  </sheets>
  <definedNames>
    <definedName name="_xlnm._FilterDatabase" localSheetId="0" hidden="1">'实验室家具 (2)'!$A$7:$R$310</definedName>
    <definedName name="_xlnm.Print_Area" localSheetId="0">'实验室家具 (2)'!$A$1:$K$309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06" i="4" l="1"/>
  <c r="E46" i="4" l="1"/>
  <c r="E50" i="4"/>
  <c r="E22" i="4"/>
  <c r="G22" i="4" s="1"/>
  <c r="E23" i="4"/>
  <c r="E307" i="4" l="1"/>
  <c r="E289" i="4"/>
  <c r="E279" i="4"/>
  <c r="C280" i="4"/>
  <c r="E267" i="4"/>
  <c r="E255" i="4"/>
  <c r="G255" i="4" s="1"/>
  <c r="E241" i="4"/>
  <c r="E227" i="4"/>
  <c r="E186" i="4"/>
  <c r="E181" i="4"/>
  <c r="E176" i="4"/>
  <c r="E172" i="4"/>
  <c r="G172" i="4" s="1"/>
  <c r="E168" i="4"/>
  <c r="E115" i="4"/>
  <c r="E95" i="4"/>
  <c r="E90" i="4"/>
  <c r="E85" i="4"/>
  <c r="E80" i="4"/>
  <c r="G80" i="4" s="1"/>
  <c r="E73" i="4"/>
  <c r="E63" i="4"/>
  <c r="G63" i="4" s="1"/>
  <c r="E27" i="4"/>
  <c r="E18" i="4"/>
  <c r="G309" i="4"/>
  <c r="E308" i="4"/>
  <c r="G303" i="4"/>
  <c r="G302" i="4"/>
  <c r="G301" i="4"/>
  <c r="E299" i="4"/>
  <c r="E298" i="4"/>
  <c r="E296" i="4"/>
  <c r="E295" i="4"/>
  <c r="G295" i="4" s="1"/>
  <c r="G293" i="4"/>
  <c r="G292" i="4"/>
  <c r="E291" i="4"/>
  <c r="E290" i="4"/>
  <c r="E288" i="4"/>
  <c r="E286" i="4"/>
  <c r="E285" i="4"/>
  <c r="E284" i="4"/>
  <c r="E283" i="4"/>
  <c r="E281" i="4"/>
  <c r="G281" i="4" s="1"/>
  <c r="E280" i="4"/>
  <c r="E278" i="4"/>
  <c r="E275" i="4"/>
  <c r="E274" i="4"/>
  <c r="E272" i="4"/>
  <c r="E271" i="4"/>
  <c r="E269" i="4"/>
  <c r="E268" i="4"/>
  <c r="G268" i="4" s="1"/>
  <c r="E266" i="4"/>
  <c r="E263" i="4"/>
  <c r="E262" i="4"/>
  <c r="E260" i="4"/>
  <c r="E259" i="4"/>
  <c r="G259" i="4" s="1"/>
  <c r="E257" i="4"/>
  <c r="E256" i="4"/>
  <c r="E254" i="4"/>
  <c r="G251" i="4"/>
  <c r="G250" i="4"/>
  <c r="E249" i="4"/>
  <c r="E248" i="4"/>
  <c r="E246" i="4"/>
  <c r="G246" i="4" s="1"/>
  <c r="E245" i="4"/>
  <c r="E243" i="4"/>
  <c r="E242" i="4"/>
  <c r="E240" i="4"/>
  <c r="E238" i="4"/>
  <c r="E237" i="4"/>
  <c r="E236" i="4"/>
  <c r="E234" i="4"/>
  <c r="E233" i="4"/>
  <c r="E232" i="4"/>
  <c r="E231" i="4"/>
  <c r="E229" i="4"/>
  <c r="E228" i="4"/>
  <c r="G228" i="4" s="1"/>
  <c r="E226" i="4"/>
  <c r="G222" i="4"/>
  <c r="G221" i="4"/>
  <c r="G219" i="4"/>
  <c r="E218" i="4"/>
  <c r="E217" i="4"/>
  <c r="G217" i="4" s="1"/>
  <c r="G215" i="4"/>
  <c r="E214" i="4"/>
  <c r="E213" i="4"/>
  <c r="G213" i="4" s="1"/>
  <c r="E211" i="4"/>
  <c r="E210" i="4"/>
  <c r="G208" i="4"/>
  <c r="E207" i="4"/>
  <c r="E206" i="4"/>
  <c r="E204" i="4"/>
  <c r="E203" i="4"/>
  <c r="E201" i="4"/>
  <c r="E200" i="4"/>
  <c r="G198" i="4"/>
  <c r="G197" i="4"/>
  <c r="E196" i="4"/>
  <c r="E195" i="4"/>
  <c r="E194" i="4"/>
  <c r="E193" i="4"/>
  <c r="E190" i="4"/>
  <c r="E189" i="4"/>
  <c r="G189" i="4" s="1"/>
  <c r="E187" i="4"/>
  <c r="E185" i="4"/>
  <c r="E182" i="4"/>
  <c r="G182" i="4" s="1"/>
  <c r="E180" i="4"/>
  <c r="E177" i="4"/>
  <c r="E175" i="4"/>
  <c r="E173" i="4"/>
  <c r="E171" i="4"/>
  <c r="E169" i="4"/>
  <c r="G169" i="4" s="1"/>
  <c r="E167" i="4"/>
  <c r="G164" i="4"/>
  <c r="G163" i="4"/>
  <c r="E162" i="4"/>
  <c r="E161" i="4"/>
  <c r="G161" i="4" s="1"/>
  <c r="E159" i="4"/>
  <c r="E158" i="4"/>
  <c r="E157" i="4"/>
  <c r="G155" i="4"/>
  <c r="E154" i="4"/>
  <c r="E153" i="4"/>
  <c r="E151" i="4"/>
  <c r="E150" i="4"/>
  <c r="E149" i="4"/>
  <c r="E148" i="4"/>
  <c r="G148" i="4" s="1"/>
  <c r="E146" i="4"/>
  <c r="G146" i="4" s="1"/>
  <c r="E145" i="4"/>
  <c r="E144" i="4"/>
  <c r="G144" i="4" s="1"/>
  <c r="E142" i="4"/>
  <c r="E141" i="4"/>
  <c r="E139" i="4"/>
  <c r="G139" i="4" s="1"/>
  <c r="E138" i="4"/>
  <c r="G138" i="4" s="1"/>
  <c r="E136" i="4"/>
  <c r="E135" i="4"/>
  <c r="G133" i="4"/>
  <c r="E132" i="4"/>
  <c r="E131" i="4"/>
  <c r="E129" i="4"/>
  <c r="G129" i="4" s="1"/>
  <c r="G128" i="4"/>
  <c r="G127" i="4"/>
  <c r="E126" i="4"/>
  <c r="E125" i="4"/>
  <c r="G125" i="4" s="1"/>
  <c r="E124" i="4"/>
  <c r="E123" i="4"/>
  <c r="G123" i="4" s="1"/>
  <c r="G121" i="4"/>
  <c r="E120" i="4"/>
  <c r="E119" i="4"/>
  <c r="G119" i="4" s="1"/>
  <c r="E117" i="4"/>
  <c r="E116" i="4"/>
  <c r="E114" i="4"/>
  <c r="G114" i="4" s="1"/>
  <c r="G112" i="4"/>
  <c r="E111" i="4"/>
  <c r="G111" i="4" s="1"/>
  <c r="E110" i="4"/>
  <c r="E108" i="4"/>
  <c r="G107" i="4"/>
  <c r="E106" i="4"/>
  <c r="E104" i="4"/>
  <c r="G104" i="4" s="1"/>
  <c r="E103" i="4"/>
  <c r="G103" i="4" s="1"/>
  <c r="G101" i="4"/>
  <c r="E100" i="4"/>
  <c r="G100" i="4" s="1"/>
  <c r="E99" i="4"/>
  <c r="G99" i="4" s="1"/>
  <c r="E97" i="4"/>
  <c r="E96" i="4"/>
  <c r="G96" i="4" s="1"/>
  <c r="E94" i="4"/>
  <c r="E92" i="4"/>
  <c r="G92" i="4" s="1"/>
  <c r="E91" i="4"/>
  <c r="G91" i="4" s="1"/>
  <c r="E89" i="4"/>
  <c r="G89" i="4" s="1"/>
  <c r="E87" i="4"/>
  <c r="E86" i="4"/>
  <c r="E84" i="4"/>
  <c r="E82" i="4"/>
  <c r="G82" i="4" s="1"/>
  <c r="E81" i="4"/>
  <c r="G81" i="4" s="1"/>
  <c r="E79" i="4"/>
  <c r="G79" i="4" s="1"/>
  <c r="G77" i="4"/>
  <c r="G76" i="4"/>
  <c r="E75" i="4"/>
  <c r="E74" i="4"/>
  <c r="E72" i="4"/>
  <c r="E70" i="4"/>
  <c r="G70" i="4" s="1"/>
  <c r="E69" i="4"/>
  <c r="G69" i="4" s="1"/>
  <c r="E68" i="4"/>
  <c r="G68" i="4" s="1"/>
  <c r="E67" i="4"/>
  <c r="G67" i="4" s="1"/>
  <c r="E65" i="4"/>
  <c r="E64" i="4"/>
  <c r="E62" i="4"/>
  <c r="G58" i="4"/>
  <c r="G56" i="4"/>
  <c r="G55" i="4"/>
  <c r="G54" i="4"/>
  <c r="E53" i="4"/>
  <c r="G53" i="4" s="1"/>
  <c r="G51" i="4"/>
  <c r="E49" i="4"/>
  <c r="G47" i="4"/>
  <c r="E45" i="4"/>
  <c r="G43" i="4"/>
  <c r="E42" i="4"/>
  <c r="E41" i="4"/>
  <c r="E39" i="4"/>
  <c r="G39" i="4" s="1"/>
  <c r="E38" i="4"/>
  <c r="E37" i="4"/>
  <c r="G37" i="4" s="1"/>
  <c r="E36" i="4"/>
  <c r="G34" i="4"/>
  <c r="E33" i="4"/>
  <c r="G33" i="4" s="1"/>
  <c r="E32" i="4"/>
  <c r="E30" i="4"/>
  <c r="G29" i="4"/>
  <c r="E28" i="4"/>
  <c r="G28" i="4" s="1"/>
  <c r="E26" i="4"/>
  <c r="G26" i="4" s="1"/>
  <c r="G24" i="4"/>
  <c r="E20" i="4"/>
  <c r="E19" i="4"/>
  <c r="E17" i="4"/>
  <c r="G14" i="4"/>
  <c r="G13" i="4"/>
  <c r="E12" i="4"/>
  <c r="E11" i="4"/>
  <c r="E10" i="4"/>
  <c r="E9" i="4"/>
  <c r="G193" i="4" l="1"/>
  <c r="G131" i="4"/>
  <c r="G65" i="4"/>
  <c r="G153" i="4"/>
  <c r="G285" i="4"/>
  <c r="G117" i="4"/>
  <c r="G237" i="4"/>
  <c r="G271" i="4"/>
  <c r="G11" i="4"/>
  <c r="G110" i="4"/>
  <c r="G272" i="4"/>
  <c r="G20" i="4"/>
  <c r="G106" i="4"/>
  <c r="G150" i="4"/>
  <c r="G162" i="4"/>
  <c r="F160" i="4" s="1"/>
  <c r="G160" i="4" s="1"/>
  <c r="G41" i="4"/>
  <c r="G168" i="4"/>
  <c r="G17" i="4"/>
  <c r="G75" i="4"/>
  <c r="G286" i="4"/>
  <c r="G45" i="4"/>
  <c r="G284" i="4"/>
  <c r="G181" i="4"/>
  <c r="G200" i="4"/>
  <c r="G279" i="4"/>
  <c r="F137" i="4"/>
  <c r="G137" i="4" s="1"/>
  <c r="F78" i="4"/>
  <c r="G78" i="4" s="1"/>
  <c r="F102" i="4"/>
  <c r="G102" i="4" s="1"/>
  <c r="G49" i="4"/>
  <c r="G84" i="4"/>
  <c r="G94" i="4"/>
  <c r="G97" i="4"/>
  <c r="G108" i="4"/>
  <c r="G116" i="4"/>
  <c r="G126" i="4"/>
  <c r="G135" i="4"/>
  <c r="G157" i="4"/>
  <c r="G195" i="4"/>
  <c r="G226" i="4"/>
  <c r="G229" i="4"/>
  <c r="G234" i="4"/>
  <c r="G248" i="4"/>
  <c r="G12" i="4"/>
  <c r="F98" i="4"/>
  <c r="G98" i="4" s="1"/>
  <c r="G154" i="4"/>
  <c r="G266" i="4"/>
  <c r="G269" i="4"/>
  <c r="G86" i="4"/>
  <c r="G120" i="4"/>
  <c r="F118" i="4" s="1"/>
  <c r="G118" i="4" s="1"/>
  <c r="G124" i="4"/>
  <c r="G141" i="4"/>
  <c r="G173" i="4"/>
  <c r="G203" i="4"/>
  <c r="G9" i="4"/>
  <c r="G19" i="4"/>
  <c r="G171" i="4"/>
  <c r="G232" i="4"/>
  <c r="G73" i="4"/>
  <c r="G87" i="4"/>
  <c r="G233" i="4"/>
  <c r="F66" i="4"/>
  <c r="G66" i="4" s="1"/>
  <c r="G10" i="4"/>
  <c r="G18" i="4"/>
  <c r="G30" i="4"/>
  <c r="G72" i="4"/>
  <c r="G74" i="4"/>
  <c r="G85" i="4"/>
  <c r="G149" i="4"/>
  <c r="G275" i="4"/>
  <c r="G289" i="4"/>
  <c r="G296" i="4"/>
  <c r="F294" i="4" s="1"/>
  <c r="G294" i="4" s="1"/>
  <c r="G23" i="4"/>
  <c r="F21" i="4" s="1"/>
  <c r="G21" i="4" s="1"/>
  <c r="G27" i="4"/>
  <c r="G32" i="4"/>
  <c r="F31" i="4" s="1"/>
  <c r="G31" i="4" s="1"/>
  <c r="G36" i="4"/>
  <c r="G38" i="4"/>
  <c r="G90" i="4"/>
  <c r="G115" i="4"/>
  <c r="G158" i="4"/>
  <c r="G176" i="4"/>
  <c r="G206" i="4"/>
  <c r="G262" i="4"/>
  <c r="G145" i="4"/>
  <c r="F143" i="4" s="1"/>
  <c r="G143" i="4" s="1"/>
  <c r="G42" i="4"/>
  <c r="G46" i="4"/>
  <c r="G50" i="4"/>
  <c r="G62" i="4"/>
  <c r="G64" i="4"/>
  <c r="G95" i="4"/>
  <c r="G185" i="4"/>
  <c r="G242" i="4"/>
  <c r="G298" i="4"/>
  <c r="G306" i="4"/>
  <c r="G210" i="4"/>
  <c r="G240" i="4"/>
  <c r="G194" i="4"/>
  <c r="G204" i="4"/>
  <c r="G132" i="4"/>
  <c r="G177" i="4"/>
  <c r="G196" i="4"/>
  <c r="G260" i="4"/>
  <c r="G136" i="4"/>
  <c r="G151" i="4"/>
  <c r="G231" i="4"/>
  <c r="G238" i="4"/>
  <c r="G243" i="4"/>
  <c r="G283" i="4"/>
  <c r="G190" i="4"/>
  <c r="G214" i="4"/>
  <c r="F212" i="4" s="1"/>
  <c r="G212" i="4" s="1"/>
  <c r="G218" i="4"/>
  <c r="F216" i="4" s="1"/>
  <c r="G216" i="4" s="1"/>
  <c r="G245" i="4"/>
  <c r="F244" i="4" s="1"/>
  <c r="G244" i="4" s="1"/>
  <c r="G142" i="4"/>
  <c r="G167" i="4"/>
  <c r="G180" i="4"/>
  <c r="G201" i="4"/>
  <c r="G227" i="4"/>
  <c r="G249" i="4"/>
  <c r="G254" i="4"/>
  <c r="G256" i="4"/>
  <c r="G257" i="4"/>
  <c r="G267" i="4"/>
  <c r="G278" i="4"/>
  <c r="G280" i="4"/>
  <c r="G159" i="4"/>
  <c r="G175" i="4"/>
  <c r="G186" i="4"/>
  <c r="G187" i="4"/>
  <c r="G207" i="4"/>
  <c r="G211" i="4"/>
  <c r="G236" i="4"/>
  <c r="G241" i="4"/>
  <c r="G263" i="4"/>
  <c r="G274" i="4"/>
  <c r="G288" i="4"/>
  <c r="G290" i="4"/>
  <c r="G291" i="4"/>
  <c r="G299" i="4"/>
  <c r="G307" i="4"/>
  <c r="G308" i="4"/>
  <c r="F40" i="4" l="1"/>
  <c r="G40" i="4" s="1"/>
  <c r="F235" i="4"/>
  <c r="G235" i="4" s="1"/>
  <c r="F130" i="4"/>
  <c r="G130" i="4" s="1"/>
  <c r="F170" i="4"/>
  <c r="G170" i="4" s="1"/>
  <c r="F270" i="4"/>
  <c r="G270" i="4" s="1"/>
  <c r="F109" i="4"/>
  <c r="G109" i="4" s="1"/>
  <c r="F282" i="4"/>
  <c r="G282" i="4" s="1"/>
  <c r="F134" i="4"/>
  <c r="G134" i="4" s="1"/>
  <c r="F71" i="4"/>
  <c r="G71" i="4" s="1"/>
  <c r="F25" i="4"/>
  <c r="G25" i="4" s="1"/>
  <c r="F52" i="4"/>
  <c r="G52" i="4" s="1"/>
  <c r="F122" i="4"/>
  <c r="G122" i="4" s="1"/>
  <c r="F230" i="4"/>
  <c r="G230" i="4" s="1"/>
  <c r="F113" i="4"/>
  <c r="G113" i="4" s="1"/>
  <c r="F265" i="4"/>
  <c r="G265" i="4" s="1"/>
  <c r="F105" i="4"/>
  <c r="G105" i="4" s="1"/>
  <c r="F199" i="4"/>
  <c r="G199" i="4" s="1"/>
  <c r="F174" i="4"/>
  <c r="G174" i="4" s="1"/>
  <c r="F166" i="4"/>
  <c r="G166" i="4" s="1"/>
  <c r="F297" i="4"/>
  <c r="G297" i="4" s="1"/>
  <c r="F35" i="4"/>
  <c r="G35" i="4" s="1"/>
  <c r="F93" i="4"/>
  <c r="G93" i="4" s="1"/>
  <c r="F225" i="4"/>
  <c r="G225" i="4" s="1"/>
  <c r="F152" i="4"/>
  <c r="G152" i="4" s="1"/>
  <c r="F88" i="4"/>
  <c r="G88" i="4" s="1"/>
  <c r="F247" i="4"/>
  <c r="G247" i="4" s="1"/>
  <c r="F192" i="4"/>
  <c r="G192" i="4" s="1"/>
  <c r="F277" i="4"/>
  <c r="G277" i="4" s="1"/>
  <c r="F156" i="4"/>
  <c r="G156" i="4" s="1"/>
  <c r="F140" i="4"/>
  <c r="G140" i="4" s="1"/>
  <c r="F188" i="4"/>
  <c r="G188" i="4" s="1"/>
  <c r="F287" i="4"/>
  <c r="G287" i="4" s="1"/>
  <c r="F258" i="4"/>
  <c r="G258" i="4" s="1"/>
  <c r="F202" i="4"/>
  <c r="G202" i="4" s="1"/>
  <c r="F239" i="4"/>
  <c r="G239" i="4" s="1"/>
  <c r="F305" i="4"/>
  <c r="G305" i="4" s="1"/>
  <c r="F16" i="4"/>
  <c r="G16" i="4" s="1"/>
  <c r="F44" i="4"/>
  <c r="G44" i="4" s="1"/>
  <c r="F273" i="4"/>
  <c r="G273" i="4" s="1"/>
  <c r="F179" i="4"/>
  <c r="G179" i="4" s="1"/>
  <c r="F261" i="4"/>
  <c r="G261" i="4" s="1"/>
  <c r="F48" i="4"/>
  <c r="G48" i="4" s="1"/>
  <c r="F209" i="4"/>
  <c r="G209" i="4" s="1"/>
  <c r="F61" i="4"/>
  <c r="G61" i="4" s="1"/>
  <c r="F147" i="4"/>
  <c r="G147" i="4" s="1"/>
  <c r="F8" i="4"/>
  <c r="G8" i="4" s="1"/>
  <c r="F253" i="4"/>
  <c r="G253" i="4" s="1"/>
  <c r="F184" i="4"/>
  <c r="G184" i="4" s="1"/>
  <c r="F205" i="4"/>
  <c r="G205" i="4" s="1"/>
  <c r="F83" i="4"/>
  <c r="G83" i="4" s="1"/>
  <c r="G310" i="4" l="1"/>
  <c r="C310" i="4" s="1"/>
</calcChain>
</file>

<file path=xl/sharedStrings.xml><?xml version="1.0" encoding="utf-8"?>
<sst xmlns="http://schemas.openxmlformats.org/spreadsheetml/2006/main" count="1449" uniqueCount="312">
  <si>
    <t>序号</t>
  </si>
  <si>
    <t>产品名称</t>
  </si>
  <si>
    <t>型号</t>
  </si>
  <si>
    <t>单位</t>
  </si>
  <si>
    <t>数量</t>
  </si>
  <si>
    <t>边台</t>
  </si>
  <si>
    <t>2200*800*850</t>
  </si>
  <si>
    <t>台</t>
  </si>
  <si>
    <t>全钢结构，H型钢架吊钢柜</t>
  </si>
  <si>
    <t>配置说明</t>
  </si>
  <si>
    <t>台面</t>
  </si>
  <si>
    <t>㎡</t>
  </si>
  <si>
    <t>台面采用12.7mm或13mm实验室专用实芯理化板，耐腐蚀，周边加厚至25.4mm或26mm。</t>
  </si>
  <si>
    <t>柜体</t>
  </si>
  <si>
    <t>m³</t>
  </si>
  <si>
    <t>框架（含主立柱）</t>
  </si>
  <si>
    <t>m</t>
  </si>
  <si>
    <t>封板</t>
  </si>
  <si>
    <t>560*660
620*660*2</t>
  </si>
  <si>
    <t>实验室专用单口水龙头</t>
  </si>
  <si>
    <t>套</t>
  </si>
  <si>
    <t>骨髓形态科</t>
  </si>
  <si>
    <t>1500*700*850</t>
  </si>
  <si>
    <t>1500*700</t>
  </si>
  <si>
    <t>610*660
520*660*2</t>
  </si>
  <si>
    <t>组合试剂架</t>
  </si>
  <si>
    <t>1500*300*800</t>
  </si>
  <si>
    <t>全钢结构，配置灯带，</t>
  </si>
  <si>
    <t>试剂架</t>
  </si>
  <si>
    <t>1500*800</t>
  </si>
  <si>
    <t>层板</t>
  </si>
  <si>
    <t>照明灯+灯罩</t>
  </si>
  <si>
    <t>含开关</t>
  </si>
  <si>
    <t>按实际数量以每套为单位综合考虑，含电线布线</t>
  </si>
  <si>
    <t>2650*750*850</t>
  </si>
  <si>
    <t>2650*750</t>
  </si>
  <si>
    <t>个</t>
  </si>
  <si>
    <t>635*660*2
570*660*3</t>
  </si>
  <si>
    <t>1300*300*800</t>
  </si>
  <si>
    <t>1300*800</t>
  </si>
  <si>
    <t>4800*750*850</t>
  </si>
  <si>
    <t>4800*750</t>
  </si>
  <si>
    <t>570*660*2</t>
  </si>
  <si>
    <t>900*300*800</t>
  </si>
  <si>
    <t>900*800</t>
  </si>
  <si>
    <t>890*300*800</t>
  </si>
  <si>
    <t>890*800</t>
  </si>
  <si>
    <t>1000*300*800</t>
  </si>
  <si>
    <t>1000*800</t>
  </si>
  <si>
    <t>其他</t>
  </si>
  <si>
    <t>电气配件</t>
  </si>
  <si>
    <t>实验室专用二三插座</t>
  </si>
  <si>
    <t>检验科</t>
  </si>
  <si>
    <t>实验室</t>
  </si>
  <si>
    <t>实验台</t>
  </si>
  <si>
    <t>2100*750*850</t>
  </si>
  <si>
    <t>2100*800</t>
  </si>
  <si>
    <t>675*660
570*660</t>
  </si>
  <si>
    <t>角柜</t>
  </si>
  <si>
    <t>1000*1000*850</t>
  </si>
  <si>
    <t>1000*1000</t>
  </si>
  <si>
    <t>820*660*2</t>
  </si>
  <si>
    <t>1300*750*850</t>
  </si>
  <si>
    <t>1300*750</t>
  </si>
  <si>
    <t>570*660</t>
  </si>
  <si>
    <t>2000*750*850</t>
  </si>
  <si>
    <t>2000*750</t>
  </si>
  <si>
    <t>525*660
570*660*2</t>
  </si>
  <si>
    <t>2000*660
570*660*2</t>
  </si>
  <si>
    <t>2700*750*850</t>
  </si>
  <si>
    <t>2700*750</t>
  </si>
  <si>
    <t>(1720+800)*660
570*660*3</t>
  </si>
  <si>
    <t>1100*750*850</t>
  </si>
  <si>
    <t>1100*750</t>
  </si>
  <si>
    <t>510*660
570*660*2</t>
  </si>
  <si>
    <t>1100*300*900</t>
  </si>
  <si>
    <t>1100*900</t>
  </si>
  <si>
    <t>1100*300*2</t>
  </si>
  <si>
    <t>矮柜</t>
  </si>
  <si>
    <t>1100*400*850</t>
  </si>
  <si>
    <t>全钢结构</t>
  </si>
  <si>
    <t>配置清单</t>
  </si>
  <si>
    <t>钢制柜体</t>
  </si>
  <si>
    <t>采用≥1.0mm一级冷轧钢板，环氧树脂粉末喷涂处理。</t>
  </si>
  <si>
    <t>活动层板</t>
  </si>
  <si>
    <t>1100*400*1</t>
  </si>
  <si>
    <t>800*400*850</t>
  </si>
  <si>
    <t>800*400</t>
  </si>
  <si>
    <t>钢制键盘架</t>
  </si>
  <si>
    <t>800*330
400*850*2</t>
  </si>
  <si>
    <t xml:space="preserve">  </t>
  </si>
  <si>
    <t>1100*400*1125</t>
  </si>
  <si>
    <t>1100*1125</t>
  </si>
  <si>
    <t>1100*400*3</t>
  </si>
  <si>
    <t>1400*500*850</t>
  </si>
  <si>
    <t>1400*500</t>
  </si>
  <si>
    <t>1400*500
1400*660
320*660*2</t>
  </si>
  <si>
    <t>1400*300*1000</t>
  </si>
  <si>
    <t>1400*1000</t>
  </si>
  <si>
    <t>1400*300*2</t>
  </si>
  <si>
    <t>2100*750</t>
  </si>
  <si>
    <t>试剂架层板</t>
  </si>
  <si>
    <t>1700*400</t>
  </si>
  <si>
    <t>1700*400*900</t>
  </si>
  <si>
    <t>组</t>
  </si>
  <si>
    <t>钢玻结构</t>
  </si>
  <si>
    <t>1700*900</t>
  </si>
  <si>
    <t>1700*400*2</t>
  </si>
  <si>
    <t>货架</t>
  </si>
  <si>
    <t>900*500*1800</t>
  </si>
  <si>
    <t>钢架</t>
  </si>
  <si>
    <t>主体结构采用100*40型材钢管，壁厚2mm以上；每层150kg均匀承托负重，在长期负重状态下性能保持强度稳定，层板高度可调，加工成型后整体经酸洗、磷化、环氧树脂静电粉末喷涂。符合国家安全及质量标准的产品。所有配件的五金性能都符合国家标准。</t>
  </si>
  <si>
    <t>900*500*4</t>
  </si>
  <si>
    <t>采用有1.0mm冷轧钢板按所需尺寸四边折弯成型，高度可调节</t>
  </si>
  <si>
    <t>1400*500*1800</t>
  </si>
  <si>
    <t>1400*500*4</t>
  </si>
  <si>
    <t>置物架</t>
  </si>
  <si>
    <t>500*500*600</t>
  </si>
  <si>
    <t>500*500*2</t>
  </si>
  <si>
    <t>700*600*1000</t>
  </si>
  <si>
    <t>700*600*4</t>
  </si>
  <si>
    <t>扣减门板</t>
  </si>
  <si>
    <t>700*1000</t>
  </si>
  <si>
    <t>1000*750*850</t>
  </si>
  <si>
    <t>1000*750</t>
  </si>
  <si>
    <t>1300*400*650</t>
  </si>
  <si>
    <t>1300*650</t>
  </si>
  <si>
    <t>1300*400</t>
  </si>
  <si>
    <t>1300*750*950</t>
  </si>
  <si>
    <t>750*400*1000</t>
  </si>
  <si>
    <t>750*1000</t>
  </si>
  <si>
    <t>750*400*3</t>
  </si>
  <si>
    <t>血库</t>
  </si>
  <si>
    <t>2600*750*850</t>
  </si>
  <si>
    <t>全钢结构，落地柜结构</t>
  </si>
  <si>
    <t>2600*750</t>
  </si>
  <si>
    <t>740*825</t>
  </si>
  <si>
    <t>1800*750*850</t>
  </si>
  <si>
    <t>1800*750</t>
  </si>
  <si>
    <t>700*825</t>
  </si>
  <si>
    <t>1600*750*850</t>
  </si>
  <si>
    <t>1600*750</t>
  </si>
  <si>
    <t>配血室</t>
  </si>
  <si>
    <t>650*825</t>
  </si>
  <si>
    <t>接收室</t>
  </si>
  <si>
    <t>590*825</t>
  </si>
  <si>
    <t>1200*750*850</t>
  </si>
  <si>
    <t>1200*750</t>
  </si>
  <si>
    <t>输血科</t>
  </si>
  <si>
    <t>吊柜</t>
  </si>
  <si>
    <t>1500*300*600</t>
  </si>
  <si>
    <t>钢制墙柜</t>
  </si>
  <si>
    <t>1500*300*1</t>
  </si>
  <si>
    <t>1600*300*600</t>
  </si>
  <si>
    <t>1600*300*1</t>
  </si>
  <si>
    <t>1600*300*1000</t>
  </si>
  <si>
    <t>1600*1000</t>
  </si>
  <si>
    <t>1600*300*2</t>
  </si>
  <si>
    <t>1300*300*600</t>
  </si>
  <si>
    <t>1300*300*1</t>
  </si>
  <si>
    <t>2000*300*800</t>
  </si>
  <si>
    <t>2000*800</t>
  </si>
  <si>
    <t>2000*300*2</t>
  </si>
  <si>
    <t>2500*300*800</t>
  </si>
  <si>
    <t>2500*800</t>
  </si>
  <si>
    <t>2500*300*2</t>
  </si>
  <si>
    <t>实验凳</t>
  </si>
  <si>
    <t>张</t>
  </si>
  <si>
    <t>材质为pu，气杆行程为140mm反复升降5万次以上，管壁1.2mm，脚材质为铝合金，脚半径268mm，轮子为尼龙，椅子升降幅度460-570mm，椅子承重500斤以上。</t>
  </si>
  <si>
    <t>肿瘤资源库</t>
  </si>
  <si>
    <t>770*660
570*660</t>
  </si>
  <si>
    <t>980*750*850</t>
  </si>
  <si>
    <t>980*750</t>
  </si>
  <si>
    <t>980*660
570*660*2</t>
  </si>
  <si>
    <t>4000*750*850</t>
  </si>
  <si>
    <t>4000*750</t>
  </si>
  <si>
    <t>635*660*2
570*660</t>
  </si>
  <si>
    <t>4250*250*900</t>
  </si>
  <si>
    <t>铝玻结构</t>
  </si>
  <si>
    <t>4250*900</t>
  </si>
  <si>
    <t>玻璃层板</t>
  </si>
  <si>
    <t>4250*250*2</t>
  </si>
  <si>
    <t>5000*300*600</t>
  </si>
  <si>
    <t>5000*300</t>
  </si>
  <si>
    <t>组织样本室</t>
  </si>
  <si>
    <t>1500*800*850</t>
  </si>
  <si>
    <t>595*660
570*660*2</t>
  </si>
  <si>
    <t>1500*250*900</t>
  </si>
  <si>
    <t>1500*900</t>
  </si>
  <si>
    <t>1500*250*2</t>
  </si>
  <si>
    <t>1500*300</t>
  </si>
  <si>
    <t>细胞样本处理室</t>
  </si>
  <si>
    <t>3000*750*850</t>
  </si>
  <si>
    <t>3000*750</t>
  </si>
  <si>
    <t>623*660*2
570*660*3</t>
  </si>
  <si>
    <t>3000*250*900</t>
  </si>
  <si>
    <t>3000*900</t>
  </si>
  <si>
    <t>3000*250*2</t>
  </si>
  <si>
    <t>3000*300*600</t>
  </si>
  <si>
    <t>3000*300</t>
  </si>
  <si>
    <t>血液标本室</t>
  </si>
  <si>
    <t xml:space="preserve">570*660+570*660
</t>
  </si>
  <si>
    <t>3500*750*850</t>
  </si>
  <si>
    <t>3500*750</t>
  </si>
  <si>
    <t>（573+572）*660
570*660</t>
  </si>
  <si>
    <t>3750*250*900</t>
  </si>
  <si>
    <t>3750*900</t>
  </si>
  <si>
    <t>3750*250*2</t>
  </si>
  <si>
    <t>4500*300*600</t>
  </si>
  <si>
    <t>4500*300</t>
  </si>
  <si>
    <t>实验椅1</t>
  </si>
  <si>
    <t>升降幅度460-570mm</t>
  </si>
  <si>
    <t>实验椅2</t>
  </si>
  <si>
    <t>升降幅度570-770mm</t>
  </si>
  <si>
    <t>材质为pu，气杆行程为268mm反复升降5万次以上，管壁1.2mm，脚材质为铝合金，脚半径268mm，带脚踏圈；轮子为尼龙，椅子升降幅度570-770mm，椅子承重500斤以上。</t>
  </si>
  <si>
    <t>ICU</t>
  </si>
  <si>
    <t>600*825*2</t>
  </si>
  <si>
    <t>合计大写：</t>
  </si>
  <si>
    <t>合计：</t>
  </si>
  <si>
    <t>m</t>
    <phoneticPr fontId="12" type="noConversion"/>
  </si>
  <si>
    <t>㎡</t>
    <phoneticPr fontId="12" type="noConversion"/>
  </si>
  <si>
    <t>个</t>
    <phoneticPr fontId="12" type="noConversion"/>
  </si>
  <si>
    <t>电气配件</t>
    <phoneticPr fontId="12" type="noConversion"/>
  </si>
  <si>
    <t>全钢结构，H型钢架吊钢柜</t>
    <phoneticPr fontId="12" type="noConversion"/>
  </si>
  <si>
    <t>台面采用12.7mm或13mm实验室专用实芯理化板，耐腐蚀，周边加厚至25.4mm或26mm。</t>
    <phoneticPr fontId="12" type="noConversion"/>
  </si>
  <si>
    <t>备注</t>
    <phoneticPr fontId="12" type="noConversion"/>
  </si>
  <si>
    <t>材质说明</t>
    <phoneticPr fontId="12" type="noConversion"/>
  </si>
  <si>
    <t>按台面面积计算。</t>
    <phoneticPr fontId="12" type="noConversion"/>
  </si>
  <si>
    <t>满柜按边台体积计算，如留空则扣减留空部分体积。最终按使用科室决定满柜或留空位置。</t>
    <phoneticPr fontId="12" type="noConversion"/>
  </si>
  <si>
    <t>回型钢架结构，框架采用60*40*1.5mm厚度无缝钢管型材加工成型，表面环氧树脂静电粉末喷涂处理。</t>
    <phoneticPr fontId="12" type="noConversion"/>
  </si>
  <si>
    <t>按实际延长米计算。</t>
  </si>
  <si>
    <t>（2200-560）*800*850</t>
    <phoneticPr fontId="12" type="noConversion"/>
  </si>
  <si>
    <t>按封板面积计算。</t>
    <phoneticPr fontId="12" type="noConversion"/>
  </si>
  <si>
    <r>
      <t>采用≥1.0mm一级冷轧钢板，表面经酸洗、磷化防锈及静电处理，并喷涂≥75</t>
    </r>
    <r>
      <rPr>
        <sz val="10"/>
        <rFont val="Calibri"/>
        <family val="3"/>
        <charset val="161"/>
      </rPr>
      <t>μ</t>
    </r>
    <r>
      <rPr>
        <sz val="10"/>
        <rFont val="宋体"/>
        <family val="3"/>
        <charset val="134"/>
        <scheme val="minor"/>
      </rPr>
      <t>m厚环氧树脂粉末；</t>
    </r>
    <phoneticPr fontId="12" type="noConversion"/>
  </si>
  <si>
    <r>
      <t>柜体采用≥1.0mm一级冷轧钢板，表面经酸洗、磷化防锈及静电处理，并喷涂≥75</t>
    </r>
    <r>
      <rPr>
        <sz val="10"/>
        <rFont val="Calibri"/>
        <family val="3"/>
        <charset val="161"/>
      </rPr>
      <t>μ</t>
    </r>
    <r>
      <rPr>
        <sz val="10"/>
        <rFont val="宋体"/>
        <family val="3"/>
        <charset val="134"/>
        <scheme val="minor"/>
      </rPr>
      <t>m厚环氧树脂粉末；含带抽屉柜体、五金配件（DTC三节式静音滑轨；DTC全开105度铰链；铝合金一字型暗拉手；高强度可调地脚）</t>
    </r>
    <phoneticPr fontId="12" type="noConversion"/>
  </si>
  <si>
    <t>全钢结构，H型钢架吊钢柜</t>
    <phoneticPr fontId="12" type="noConversion"/>
  </si>
  <si>
    <t>按每套为单位计算</t>
    <phoneticPr fontId="12" type="noConversion"/>
  </si>
  <si>
    <t>实验室专用水嘴，含水管配件。</t>
    <phoneticPr fontId="12" type="noConversion"/>
  </si>
  <si>
    <t>（1500-610）*700*850</t>
    <phoneticPr fontId="12" type="noConversion"/>
  </si>
  <si>
    <t>100*40*2.0mm型材立柱</t>
    <phoneticPr fontId="12" type="noConversion"/>
  </si>
  <si>
    <t>（2650-635*2）*750*850</t>
    <phoneticPr fontId="12" type="noConversion"/>
  </si>
  <si>
    <t>（2100-675）*750*850</t>
    <phoneticPr fontId="12" type="noConversion"/>
  </si>
  <si>
    <t>门板</t>
    <phoneticPr fontId="12" type="noConversion"/>
  </si>
  <si>
    <t>按门板面积计算。</t>
    <phoneticPr fontId="12" type="noConversion"/>
  </si>
  <si>
    <t>1300*750</t>
    <phoneticPr fontId="12" type="noConversion"/>
  </si>
  <si>
    <t>（2000-525）*750*850</t>
    <phoneticPr fontId="12" type="noConversion"/>
  </si>
  <si>
    <t>2000*750*（850-500）</t>
    <phoneticPr fontId="12" type="noConversion"/>
  </si>
  <si>
    <t>（2700-800）*750*（850-500）</t>
    <phoneticPr fontId="12" type="noConversion"/>
  </si>
  <si>
    <t>（1100-510）*750</t>
    <phoneticPr fontId="12" type="noConversion"/>
  </si>
  <si>
    <t>按柜体体积计算</t>
    <phoneticPr fontId="12" type="noConversion"/>
  </si>
  <si>
    <t>每层层板按面积计算</t>
    <phoneticPr fontId="12" type="noConversion"/>
  </si>
  <si>
    <t>按个计算</t>
    <phoneticPr fontId="12" type="noConversion"/>
  </si>
  <si>
    <t>实验室专用， 含开关</t>
    <phoneticPr fontId="12" type="noConversion"/>
  </si>
  <si>
    <t>1400*500*（850-500）</t>
    <phoneticPr fontId="12" type="noConversion"/>
  </si>
  <si>
    <t>12mm厚钢化玻璃</t>
    <phoneticPr fontId="12" type="noConversion"/>
  </si>
  <si>
    <t>每个架子按正立面面积长*高计算</t>
    <phoneticPr fontId="12" type="noConversion"/>
  </si>
  <si>
    <t>主体结构采用100*40型材钢管，壁厚2mm以上；每层150kg均匀承托负重，在长期负重状态下性能保持强度稳定，层板高度可调，加工成型后整体经酸洗、磷化、环氧树脂静电粉末喷涂。符合国家安全及质量标准的产品。所有配件的五金性能都符合国家标准。</t>
    <phoneticPr fontId="12" type="noConversion"/>
  </si>
  <si>
    <t>按实际延长米计算。</t>
    <phoneticPr fontId="12" type="noConversion"/>
  </si>
  <si>
    <t>全钢结构</t>
    <phoneticPr fontId="12" type="noConversion"/>
  </si>
  <si>
    <t>采用有1.0mm冷轧钢板按所需尺寸四边折弯成型</t>
    <phoneticPr fontId="12" type="noConversion"/>
  </si>
  <si>
    <t>层板</t>
    <phoneticPr fontId="12" type="noConversion"/>
  </si>
  <si>
    <t>每个门板按面积计算</t>
    <phoneticPr fontId="12" type="noConversion"/>
  </si>
  <si>
    <t>置物柜</t>
    <phoneticPr fontId="12" type="noConversion"/>
  </si>
  <si>
    <t>（2600-740）*750*850</t>
    <phoneticPr fontId="12" type="noConversion"/>
  </si>
  <si>
    <t>（1800-700）*750*850</t>
    <phoneticPr fontId="12" type="noConversion"/>
  </si>
  <si>
    <t>（1600-700）*750*850</t>
    <phoneticPr fontId="12" type="noConversion"/>
  </si>
  <si>
    <t>（2000-650）*750*850</t>
    <phoneticPr fontId="12" type="noConversion"/>
  </si>
  <si>
    <t>（2000-590）*750*850</t>
    <phoneticPr fontId="12" type="noConversion"/>
  </si>
  <si>
    <t>按张计算</t>
    <phoneticPr fontId="12" type="noConversion"/>
  </si>
  <si>
    <t>（1300-770）*750*850</t>
    <phoneticPr fontId="12" type="noConversion"/>
  </si>
  <si>
    <t>（4000-635*2）*750*850</t>
    <phoneticPr fontId="12" type="noConversion"/>
  </si>
  <si>
    <t>（1500-595）*800*850</t>
    <phoneticPr fontId="12" type="noConversion"/>
  </si>
  <si>
    <t>（3000-623*2）*750*850</t>
    <phoneticPr fontId="12" type="noConversion"/>
  </si>
  <si>
    <t>（1100-570）*750*850</t>
    <phoneticPr fontId="12" type="noConversion"/>
  </si>
  <si>
    <t>（3500-573-572）*750*850</t>
    <phoneticPr fontId="12" type="noConversion"/>
  </si>
  <si>
    <t>（3000-600*2）*750*850</t>
    <phoneticPr fontId="12" type="noConversion"/>
  </si>
  <si>
    <t>实验室专用，采用PP材料制作，带排水管</t>
    <phoneticPr fontId="12" type="noConversion"/>
  </si>
  <si>
    <t>实验室专用三联水嘴，含水管配件。</t>
    <phoneticPr fontId="12" type="noConversion"/>
  </si>
  <si>
    <t>单口鹅颈水龙头</t>
    <phoneticPr fontId="12" type="noConversion"/>
  </si>
  <si>
    <t>按层板面积计算</t>
    <phoneticPr fontId="12" type="noConversion"/>
  </si>
  <si>
    <t>40*60*1.2mm铝型材立柱</t>
  </si>
  <si>
    <t>40*60*1.2mm铝型材立柱</t>
    <phoneticPr fontId="12" type="noConversion"/>
  </si>
  <si>
    <t>试剂架</t>
    <phoneticPr fontId="12" type="noConversion"/>
  </si>
  <si>
    <t>层板</t>
    <phoneticPr fontId="12" type="noConversion"/>
  </si>
  <si>
    <t>每个架子按正立面面积长*高计算</t>
    <phoneticPr fontId="12" type="noConversion"/>
  </si>
  <si>
    <t>1500*800</t>
    <phoneticPr fontId="12" type="noConversion"/>
  </si>
  <si>
    <t>1500*300*1</t>
    <phoneticPr fontId="12" type="noConversion"/>
  </si>
  <si>
    <t>试剂架（含侧板、背板、顶板）</t>
    <phoneticPr fontId="12" type="noConversion"/>
  </si>
  <si>
    <t>1000*300*1</t>
    <phoneticPr fontId="12" type="noConversion"/>
  </si>
  <si>
    <t>890*300*1</t>
    <phoneticPr fontId="12" type="noConversion"/>
  </si>
  <si>
    <t>900*300*1</t>
    <phoneticPr fontId="12" type="noConversion"/>
  </si>
  <si>
    <t>1300*300*1</t>
    <phoneticPr fontId="12" type="noConversion"/>
  </si>
  <si>
    <t>全钢结构，配置灯带，</t>
    <phoneticPr fontId="12" type="noConversion"/>
  </si>
  <si>
    <t>三口鹅颈水龙头</t>
    <phoneticPr fontId="12" type="noConversion"/>
  </si>
  <si>
    <t>实验室专用三联水嘴，中间鹅颈出水口可360°活动，含水管配件</t>
    <phoneticPr fontId="12" type="noConversion"/>
  </si>
  <si>
    <t>PP大水槽</t>
    <phoneticPr fontId="12" type="noConversion"/>
  </si>
  <si>
    <t>475*395*300mm</t>
    <phoneticPr fontId="12" type="noConversion"/>
  </si>
  <si>
    <t>PP水槽</t>
    <phoneticPr fontId="12" type="noConversion"/>
  </si>
  <si>
    <t>570×470×335mm</t>
    <phoneticPr fontId="12" type="noConversion"/>
  </si>
  <si>
    <t>单价</t>
    <phoneticPr fontId="12" type="noConversion"/>
  </si>
  <si>
    <t>总额</t>
    <phoneticPr fontId="12" type="noConversion"/>
  </si>
  <si>
    <t>临床试验病区</t>
    <phoneticPr fontId="12" type="noConversion"/>
  </si>
  <si>
    <t>实验室家具询价单</t>
    <phoneticPr fontId="12" type="noConversion"/>
  </si>
  <si>
    <t>报价公司：</t>
    <phoneticPr fontId="18" type="noConversion"/>
  </si>
  <si>
    <t>报价日期：</t>
    <phoneticPr fontId="18" type="noConversion"/>
  </si>
  <si>
    <t>联系人、电话：</t>
    <phoneticPr fontId="18" type="noConversion"/>
  </si>
  <si>
    <t>质保时长：</t>
    <phoneticPr fontId="18" type="noConversion"/>
  </si>
  <si>
    <t>盖章：</t>
    <phoneticPr fontId="18" type="noConversion"/>
  </si>
  <si>
    <t>参考图片</t>
    <phoneticPr fontId="12" type="noConversion"/>
  </si>
  <si>
    <t>投标图片/备注</t>
    <phoneticPr fontId="12" type="noConversion"/>
  </si>
  <si>
    <r>
      <t>报价说明：请在下列标</t>
    </r>
    <r>
      <rPr>
        <b/>
        <sz val="11"/>
        <color rgb="FF00B050"/>
        <rFont val="宋体"/>
        <family val="3"/>
        <charset val="134"/>
      </rPr>
      <t>绿色</t>
    </r>
    <r>
      <rPr>
        <b/>
        <sz val="11"/>
        <rFont val="宋体"/>
        <family val="3"/>
        <charset val="134"/>
      </rPr>
      <t>的空格填写单项报价，其余价格自动生成，不可改动。原则上同一工艺同一规格的材质单价需一致，如不一致，就低不就高。该报价需含设计费、安装费、运输费及税费等。</t>
    </r>
    <phoneticPr fontId="12" type="noConversion"/>
  </si>
  <si>
    <t>2200*800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</si>
</sst>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0.00_);[Red]\(0.00\)"/>
    <numFmt numFmtId="178" formatCode="[DBNum2][$RMB]&quot;人&quot;&quot;民&quot;&quot;币&quot;General;[Red][DBNum2][$RMB]General"/>
    <numFmt numFmtId="179" formatCode="#,##0.00_);[Red]\(#,##0.00\)"/>
    <numFmt numFmtId="180" formatCode="0.000_ "/>
    <numFmt numFmtId="181" formatCode="[DBNum2][$RMB]General;[Red][DBNum2][$RMB]General"/>
  </numFmts>
  <fonts count="22">
    <font>
      <sz val="11"/>
      <color theme="1"/>
      <name val="宋体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8"/>
      <name val="宋体"/>
      <family val="3"/>
      <charset val="134"/>
    </font>
    <font>
      <sz val="14"/>
      <color rgb="FFC0000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name val="SimSun"/>
      <charset val="134"/>
    </font>
    <font>
      <b/>
      <sz val="10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Helv"/>
    </font>
    <font>
      <sz val="9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0"/>
      <name val="Calibri"/>
      <family val="3"/>
      <charset val="161"/>
    </font>
    <font>
      <sz val="9"/>
      <name val="宋体"/>
      <family val="3"/>
      <charset val="134"/>
    </font>
    <font>
      <sz val="11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rgb="FF00B050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10" fillId="0" borderId="0"/>
    <xf numFmtId="0" fontId="10" fillId="0" borderId="0"/>
    <xf numFmtId="0" fontId="11" fillId="0" borderId="0"/>
    <xf numFmtId="0" fontId="10" fillId="0" borderId="0"/>
    <xf numFmtId="178" fontId="9" fillId="0" borderId="0">
      <alignment vertical="center"/>
    </xf>
  </cellStyleXfs>
  <cellXfs count="160">
    <xf numFmtId="0" fontId="0" fillId="0" borderId="0" xfId="0">
      <alignment vertical="center"/>
    </xf>
    <xf numFmtId="177" fontId="1" fillId="0" borderId="1" xfId="4" applyNumberFormat="1" applyFont="1" applyFill="1" applyBorder="1" applyAlignment="1" applyProtection="1">
      <alignment horizontal="center" vertical="center" wrapText="1"/>
    </xf>
    <xf numFmtId="0" fontId="1" fillId="0" borderId="1" xfId="4" applyNumberFormat="1" applyFont="1" applyFill="1" applyBorder="1" applyAlignment="1" applyProtection="1">
      <alignment horizontal="left" vertical="center" wrapText="1"/>
      <protection locked="0"/>
    </xf>
    <xf numFmtId="179" fontId="16" fillId="9" borderId="1" xfId="4" applyNumberFormat="1" applyFont="1" applyFill="1" applyBorder="1" applyAlignment="1" applyProtection="1">
      <alignment horizontal="center" vertical="center"/>
      <protection locked="0"/>
    </xf>
    <xf numFmtId="179" fontId="15" fillId="9" borderId="1" xfId="4" applyNumberFormat="1" applyFont="1" applyFill="1" applyBorder="1" applyAlignment="1" applyProtection="1">
      <alignment horizontal="center" vertical="center"/>
      <protection locked="0"/>
    </xf>
    <xf numFmtId="179" fontId="5" fillId="9" borderId="1" xfId="4" applyNumberFormat="1" applyFont="1" applyFill="1" applyBorder="1" applyAlignment="1" applyProtection="1">
      <alignment horizontal="center" vertical="center"/>
      <protection locked="0"/>
    </xf>
    <xf numFmtId="179" fontId="1" fillId="9" borderId="1" xfId="4" applyNumberFormat="1" applyFont="1" applyFill="1" applyBorder="1" applyAlignment="1" applyProtection="1">
      <alignment horizontal="center" vertical="center"/>
      <protection locked="0"/>
    </xf>
    <xf numFmtId="0" fontId="1" fillId="0" borderId="6" xfId="4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8" borderId="0" xfId="0" applyFont="1" applyFill="1" applyAlignment="1" applyProtection="1">
      <alignment horizontal="center" vertical="center" wrapText="1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9" fillId="0" borderId="1" xfId="0" applyFont="1" applyFill="1" applyBorder="1" applyAlignment="1" applyProtection="1">
      <alignment horizontal="right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4" borderId="1" xfId="0" applyFont="1" applyFill="1" applyBorder="1" applyAlignment="1" applyProtection="1">
      <alignment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Protection="1">
      <alignment vertical="center"/>
      <protection locked="0"/>
    </xf>
    <xf numFmtId="0" fontId="12" fillId="0" borderId="3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 applyProtection="1">
      <alignment horizontal="center" vertical="center"/>
      <protection locked="0"/>
    </xf>
    <xf numFmtId="0" fontId="20" fillId="4" borderId="3" xfId="0" applyFont="1" applyFill="1" applyBorder="1" applyAlignment="1" applyProtection="1">
      <alignment horizontal="left" vertical="center"/>
      <protection locked="0"/>
    </xf>
    <xf numFmtId="0" fontId="20" fillId="4" borderId="7" xfId="0" applyFont="1" applyFill="1" applyBorder="1" applyAlignment="1" applyProtection="1">
      <alignment horizontal="left" vertical="center"/>
      <protection locked="0"/>
    </xf>
    <xf numFmtId="0" fontId="20" fillId="4" borderId="8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1" fillId="0" borderId="1" xfId="1" applyFont="1" applyBorder="1" applyAlignment="1" applyProtection="1">
      <alignment horizontal="center" vertical="center"/>
      <protection locked="0"/>
    </xf>
    <xf numFmtId="0" fontId="1" fillId="0" borderId="1" xfId="1" applyFont="1" applyBorder="1" applyAlignment="1" applyProtection="1">
      <alignment horizontal="center" vertical="center" wrapText="1"/>
      <protection locked="0"/>
    </xf>
    <xf numFmtId="0" fontId="1" fillId="4" borderId="1" xfId="1" applyFont="1" applyFill="1" applyBorder="1" applyAlignment="1" applyProtection="1">
      <alignment horizontal="center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5" fillId="3" borderId="2" xfId="1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1" xfId="2" applyFont="1" applyFill="1" applyBorder="1" applyAlignment="1" applyProtection="1">
      <alignment horizontal="center" vertical="center"/>
      <protection locked="0"/>
    </xf>
    <xf numFmtId="0" fontId="5" fillId="3" borderId="3" xfId="3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1" xfId="4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5" fillId="0" borderId="3" xfId="4" applyNumberFormat="1" applyFont="1" applyFill="1" applyBorder="1" applyAlignment="1" applyProtection="1">
      <alignment horizontal="left" vertical="center" wrapText="1"/>
      <protection locked="0"/>
    </xf>
    <xf numFmtId="0" fontId="5" fillId="0" borderId="6" xfId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 wrapText="1"/>
      <protection locked="0"/>
    </xf>
    <xf numFmtId="0" fontId="5" fillId="4" borderId="1" xfId="4" applyFont="1" applyFill="1" applyBorder="1" applyAlignment="1" applyProtection="1">
      <alignment horizontal="center" vertical="center" wrapText="1"/>
      <protection locked="0"/>
    </xf>
    <xf numFmtId="0" fontId="13" fillId="0" borderId="1" xfId="4" applyFont="1" applyFill="1" applyBorder="1" applyAlignment="1" applyProtection="1">
      <alignment horizontal="center" vertical="center" wrapText="1"/>
      <protection locked="0"/>
    </xf>
    <xf numFmtId="176" fontId="5" fillId="9" borderId="1" xfId="2" applyNumberFormat="1" applyFont="1" applyFill="1" applyBorder="1" applyAlignment="1" applyProtection="1">
      <alignment horizontal="center" vertical="center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176" fontId="16" fillId="9" borderId="1" xfId="2" applyNumberFormat="1" applyFont="1" applyFill="1" applyBorder="1" applyAlignment="1" applyProtection="1">
      <alignment horizontal="center" vertical="center"/>
      <protection locked="0"/>
    </xf>
    <xf numFmtId="0" fontId="1" fillId="3" borderId="1" xfId="1" applyFont="1" applyFill="1" applyBorder="1" applyAlignment="1" applyProtection="1">
      <alignment horizontal="center" vertical="center"/>
      <protection locked="0"/>
    </xf>
    <xf numFmtId="0" fontId="1" fillId="3" borderId="1" xfId="2" applyFont="1" applyFill="1" applyBorder="1" applyAlignment="1" applyProtection="1">
      <alignment horizontal="center" vertical="center"/>
      <protection locked="0"/>
    </xf>
    <xf numFmtId="0" fontId="1" fillId="3" borderId="1" xfId="3" applyFont="1" applyFill="1" applyBorder="1" applyAlignment="1" applyProtection="1">
      <alignment horizontal="left" vertical="center" wrapText="1"/>
      <protection locked="0"/>
    </xf>
    <xf numFmtId="0" fontId="1" fillId="0" borderId="4" xfId="1" applyFont="1" applyFill="1" applyBorder="1" applyAlignment="1" applyProtection="1">
      <alignment horizontal="center" vertical="center" wrapText="1"/>
      <protection locked="0"/>
    </xf>
    <xf numFmtId="0" fontId="1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Border="1" applyAlignment="1" applyProtection="1">
      <alignment horizontal="center" vertical="center"/>
      <protection locked="0"/>
    </xf>
    <xf numFmtId="0" fontId="1" fillId="0" borderId="6" xfId="1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5" xfId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1" fillId="5" borderId="1" xfId="2" applyFont="1" applyFill="1" applyBorder="1" applyAlignment="1" applyProtection="1">
      <alignment horizontal="center" vertical="center"/>
      <protection locked="0"/>
    </xf>
    <xf numFmtId="0" fontId="1" fillId="5" borderId="1" xfId="3" applyFont="1" applyFill="1" applyBorder="1" applyAlignment="1" applyProtection="1">
      <alignment horizontal="left" vertical="center" wrapText="1"/>
      <protection locked="0"/>
    </xf>
    <xf numFmtId="0" fontId="1" fillId="0" borderId="1" xfId="1" applyFont="1" applyFill="1" applyBorder="1" applyAlignment="1" applyProtection="1">
      <alignment horizontal="center" vertical="center" wrapText="1"/>
      <protection locked="0"/>
    </xf>
    <xf numFmtId="176" fontId="2" fillId="9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3" applyFont="1" applyFill="1" applyBorder="1" applyAlignment="1" applyProtection="1">
      <alignment horizontal="left" vertical="center" wrapText="1"/>
      <protection locked="0"/>
    </xf>
    <xf numFmtId="176" fontId="15" fillId="9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3" applyFont="1" applyBorder="1" applyAlignment="1" applyProtection="1">
      <alignment horizontal="left" vertical="center" wrapText="1"/>
      <protection locked="0"/>
    </xf>
    <xf numFmtId="0" fontId="1" fillId="7" borderId="1" xfId="1" applyFont="1" applyFill="1" applyBorder="1" applyAlignment="1" applyProtection="1">
      <alignment horizontal="center" vertical="center" wrapText="1"/>
      <protection locked="0"/>
    </xf>
    <xf numFmtId="176" fontId="1" fillId="3" borderId="1" xfId="2" applyNumberFormat="1" applyFont="1" applyFill="1" applyBorder="1" applyAlignment="1" applyProtection="1">
      <alignment horizontal="center" vertical="center"/>
      <protection locked="0"/>
    </xf>
    <xf numFmtId="0" fontId="1" fillId="3" borderId="4" xfId="3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1" fillId="0" borderId="1" xfId="2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1" fillId="0" borderId="1" xfId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1" fillId="3" borderId="1" xfId="4" applyFont="1" applyFill="1" applyBorder="1" applyAlignment="1" applyProtection="1">
      <alignment horizontal="center" vertical="center" wrapText="1"/>
      <protection locked="0"/>
    </xf>
    <xf numFmtId="176" fontId="15" fillId="9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1" xfId="1" applyFont="1" applyFill="1" applyBorder="1" applyAlignment="1" applyProtection="1">
      <alignment horizontal="left" vertical="center"/>
      <protection locked="0"/>
    </xf>
    <xf numFmtId="0" fontId="1" fillId="0" borderId="1" xfId="1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1" fillId="4" borderId="1" xfId="4" applyFont="1" applyFill="1" applyBorder="1" applyAlignment="1" applyProtection="1">
      <alignment horizontal="center" vertical="center" wrapText="1"/>
      <protection locked="0"/>
    </xf>
    <xf numFmtId="0" fontId="1" fillId="3" borderId="1" xfId="1" applyFont="1" applyFill="1" applyBorder="1" applyAlignment="1" applyProtection="1">
      <alignment horizontal="left" vertical="center"/>
      <protection locked="0"/>
    </xf>
    <xf numFmtId="0" fontId="1" fillId="3" borderId="4" xfId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 applyProtection="1">
      <alignment vertical="center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" fillId="0" borderId="5" xfId="1" applyFont="1" applyFill="1" applyBorder="1" applyAlignment="1" applyProtection="1">
      <alignment horizontal="center" vertical="center" wrapText="1"/>
      <protection locked="0"/>
    </xf>
    <xf numFmtId="0" fontId="1" fillId="0" borderId="4" xfId="1" applyFont="1" applyBorder="1" applyAlignment="1" applyProtection="1">
      <alignment horizontal="center" vertical="center" wrapText="1"/>
      <protection locked="0"/>
    </xf>
    <xf numFmtId="0" fontId="1" fillId="0" borderId="6" xfId="1" applyFont="1" applyBorder="1" applyAlignment="1" applyProtection="1">
      <alignment horizontal="center" vertical="center" wrapText="1"/>
      <protection locked="0"/>
    </xf>
    <xf numFmtId="0" fontId="1" fillId="0" borderId="5" xfId="1" applyFont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5" xfId="1" applyFont="1" applyBorder="1" applyAlignment="1" applyProtection="1">
      <alignment horizontal="center" vertical="center" wrapText="1"/>
      <protection locked="0"/>
    </xf>
    <xf numFmtId="0" fontId="1" fillId="0" borderId="1" xfId="1" applyFont="1" applyBorder="1" applyAlignment="1" applyProtection="1">
      <alignment horizontal="center" vertical="center" wrapText="1"/>
      <protection locked="0"/>
    </xf>
    <xf numFmtId="0" fontId="1" fillId="0" borderId="3" xfId="1" applyFont="1" applyBorder="1" applyAlignment="1" applyProtection="1">
      <alignment horizontal="left" vertical="center"/>
      <protection locked="0"/>
    </xf>
    <xf numFmtId="0" fontId="1" fillId="0" borderId="7" xfId="1" applyFont="1" applyBorder="1" applyAlignment="1" applyProtection="1">
      <alignment horizontal="left" vertical="center"/>
      <protection locked="0"/>
    </xf>
    <xf numFmtId="0" fontId="1" fillId="0" borderId="8" xfId="1" applyFont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1" fillId="3" borderId="1" xfId="1" applyFont="1" applyFill="1" applyBorder="1" applyAlignment="1" applyProtection="1">
      <alignment horizontal="center" vertical="center" wrapText="1"/>
      <protection locked="0"/>
    </xf>
    <xf numFmtId="0" fontId="1" fillId="3" borderId="4" xfId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1" fillId="3" borderId="6" xfId="3" applyFont="1" applyFill="1" applyBorder="1" applyAlignment="1" applyProtection="1">
      <alignment horizontal="left" vertical="center" wrapText="1"/>
      <protection locked="0"/>
    </xf>
    <xf numFmtId="0" fontId="1" fillId="4" borderId="0" xfId="0" applyFont="1" applyFill="1" applyBorder="1" applyAlignment="1" applyProtection="1">
      <alignment vertical="center"/>
      <protection locked="0"/>
    </xf>
    <xf numFmtId="177" fontId="15" fillId="9" borderId="1" xfId="1" applyNumberFormat="1" applyFont="1" applyFill="1" applyBorder="1" applyAlignment="1" applyProtection="1">
      <alignment horizontal="center" vertical="center"/>
      <protection locked="0"/>
    </xf>
    <xf numFmtId="0" fontId="1" fillId="3" borderId="1" xfId="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/>
      <protection locked="0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1" fillId="8" borderId="0" xfId="0" applyFont="1" applyFill="1" applyBorder="1" applyAlignment="1" applyProtection="1">
      <alignment vertical="center" wrapText="1"/>
      <protection locked="0"/>
    </xf>
    <xf numFmtId="0" fontId="1" fillId="9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2" fillId="8" borderId="0" xfId="0" applyFont="1" applyFill="1" applyAlignment="1" applyProtection="1">
      <alignment vertical="center" wrapText="1"/>
      <protection locked="0"/>
    </xf>
    <xf numFmtId="0" fontId="2" fillId="9" borderId="0" xfId="0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176" fontId="5" fillId="0" borderId="1" xfId="2" applyNumberFormat="1" applyFont="1" applyBorder="1" applyAlignment="1" applyProtection="1">
      <alignment horizontal="center" vertical="center"/>
    </xf>
    <xf numFmtId="176" fontId="5" fillId="3" borderId="1" xfId="2" applyNumberFormat="1" applyFont="1" applyFill="1" applyBorder="1" applyAlignment="1" applyProtection="1">
      <alignment horizontal="center" vertical="center"/>
    </xf>
    <xf numFmtId="176" fontId="1" fillId="5" borderId="1" xfId="0" applyNumberFormat="1" applyFont="1" applyFill="1" applyBorder="1" applyAlignment="1" applyProtection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/>
    </xf>
    <xf numFmtId="176" fontId="1" fillId="0" borderId="1" xfId="2" applyNumberFormat="1" applyFont="1" applyBorder="1" applyAlignment="1" applyProtection="1">
      <alignment horizontal="center" vertical="center"/>
    </xf>
    <xf numFmtId="176" fontId="1" fillId="3" borderId="1" xfId="2" applyNumberFormat="1" applyFont="1" applyFill="1" applyBorder="1" applyAlignment="1" applyProtection="1">
      <alignment horizontal="center" vertical="center"/>
    </xf>
    <xf numFmtId="176" fontId="1" fillId="3" borderId="1" xfId="1" applyNumberFormat="1" applyFont="1" applyFill="1" applyBorder="1" applyAlignment="1" applyProtection="1">
      <alignment horizontal="center" vertical="center"/>
    </xf>
    <xf numFmtId="176" fontId="1" fillId="0" borderId="1" xfId="1" applyNumberFormat="1" applyFont="1" applyFill="1" applyBorder="1" applyAlignment="1" applyProtection="1">
      <alignment horizontal="center" vertical="center"/>
    </xf>
    <xf numFmtId="0" fontId="1" fillId="3" borderId="1" xfId="1" applyFont="1" applyFill="1" applyBorder="1" applyAlignment="1" applyProtection="1">
      <alignment horizontal="center" vertical="center"/>
    </xf>
    <xf numFmtId="176" fontId="5" fillId="3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vertical="center"/>
    </xf>
    <xf numFmtId="181" fontId="8" fillId="0" borderId="1" xfId="0" applyNumberFormat="1" applyFont="1" applyFill="1" applyBorder="1" applyAlignment="1" applyProtection="1">
      <alignment horizontal="center" vertical="center"/>
    </xf>
    <xf numFmtId="0" fontId="5" fillId="3" borderId="1" xfId="2" applyFont="1" applyFill="1" applyBorder="1" applyAlignment="1" applyProtection="1">
      <alignment horizontal="center" vertical="center"/>
    </xf>
    <xf numFmtId="0" fontId="5" fillId="0" borderId="5" xfId="2" applyFont="1" applyBorder="1" applyAlignment="1" applyProtection="1">
      <alignment horizontal="center" vertical="center"/>
    </xf>
    <xf numFmtId="0" fontId="1" fillId="3" borderId="1" xfId="2" applyFont="1" applyFill="1" applyBorder="1" applyAlignment="1" applyProtection="1">
      <alignment horizontal="center" vertical="center"/>
    </xf>
    <xf numFmtId="0" fontId="1" fillId="0" borderId="1" xfId="2" applyFont="1" applyBorder="1" applyAlignment="1" applyProtection="1">
      <alignment horizontal="center" vertical="center"/>
    </xf>
    <xf numFmtId="0" fontId="1" fillId="5" borderId="1" xfId="2" applyFont="1" applyFill="1" applyBorder="1" applyAlignment="1" applyProtection="1">
      <alignment horizontal="center" vertical="center"/>
    </xf>
    <xf numFmtId="0" fontId="1" fillId="0" borderId="1" xfId="2" applyFont="1" applyFill="1" applyBorder="1" applyAlignment="1" applyProtection="1">
      <alignment horizontal="center" vertical="center"/>
    </xf>
    <xf numFmtId="176" fontId="5" fillId="0" borderId="5" xfId="2" applyNumberFormat="1" applyFont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</xf>
    <xf numFmtId="0" fontId="1" fillId="0" borderId="1" xfId="1" applyFont="1" applyFill="1" applyBorder="1" applyAlignment="1" applyProtection="1">
      <alignment horizontal="center" vertical="center"/>
    </xf>
    <xf numFmtId="176" fontId="5" fillId="0" borderId="5" xfId="2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1" applyFont="1" applyBorder="1" applyAlignment="1" applyProtection="1">
      <alignment horizontal="left" vertical="center"/>
    </xf>
    <xf numFmtId="180" fontId="1" fillId="0" borderId="1" xfId="2" applyNumberFormat="1" applyFont="1" applyBorder="1" applyAlignment="1" applyProtection="1">
      <alignment horizontal="center" vertical="center"/>
    </xf>
    <xf numFmtId="179" fontId="1" fillId="0" borderId="1" xfId="4" applyNumberFormat="1" applyFont="1" applyFill="1" applyBorder="1" applyAlignment="1" applyProtection="1">
      <alignment horizontal="center" vertical="center"/>
    </xf>
    <xf numFmtId="0" fontId="1" fillId="0" borderId="1" xfId="1" applyFont="1" applyBorder="1" applyAlignment="1" applyProtection="1">
      <alignment horizontal="center" vertical="center"/>
    </xf>
  </cellXfs>
  <cellStyles count="6">
    <cellStyle name="0,0_x000a__x000a_NA_x000a__x000a_" xfId="1"/>
    <cellStyle name="常规" xfId="0" builtinId="0"/>
    <cellStyle name="常规 3" xfId="4"/>
    <cellStyle name="常规 5" xfId="5"/>
    <cellStyle name="常规_Sheet1" xfId="2"/>
    <cellStyle name="常规_装修" xfId="3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191462</xdr:colOff>
      <xdr:row>16</xdr:row>
      <xdr:rowOff>306436</xdr:rowOff>
    </xdr:from>
    <xdr:ext cx="2318385" cy="2522905"/>
    <xdr:pic>
      <xdr:nvPicPr>
        <xdr:cNvPr id="45" name="图片 44">
          <a:extLst>
            <a:ext uri="{FF2B5EF4-FFF2-40B4-BE49-F238E27FC236}">
              <a16:creationId xmlns:a16="http://schemas.microsoft.com/office/drawing/2014/main" xmlns="" id="{7E18E9D2-668A-44D8-A2BF-0A89862C4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3053" y="5954088"/>
          <a:ext cx="2318385" cy="25229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428721</xdr:colOff>
      <xdr:row>25</xdr:row>
      <xdr:rowOff>268489</xdr:rowOff>
    </xdr:from>
    <xdr:ext cx="1782445" cy="1917827"/>
    <xdr:pic>
      <xdr:nvPicPr>
        <xdr:cNvPr id="46" name="图片 45">
          <a:extLst>
            <a:ext uri="{FF2B5EF4-FFF2-40B4-BE49-F238E27FC236}">
              <a16:creationId xmlns:a16="http://schemas.microsoft.com/office/drawing/2014/main" xmlns="" id="{82730304-F163-420A-9EDE-7D19B4D3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0312" y="9466368"/>
          <a:ext cx="1782445" cy="191782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219941</xdr:colOff>
      <xdr:row>36</xdr:row>
      <xdr:rowOff>813569</xdr:rowOff>
    </xdr:from>
    <xdr:ext cx="2308860" cy="1861167"/>
    <xdr:pic>
      <xdr:nvPicPr>
        <xdr:cNvPr id="47" name="图片 46">
          <a:extLst>
            <a:ext uri="{FF2B5EF4-FFF2-40B4-BE49-F238E27FC236}">
              <a16:creationId xmlns:a16="http://schemas.microsoft.com/office/drawing/2014/main" xmlns="" id="{AA3D8EF2-39AB-4334-ABCF-32F3F298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01532" y="14918266"/>
          <a:ext cx="2308860" cy="186116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220326</xdr:colOff>
      <xdr:row>49</xdr:row>
      <xdr:rowOff>172700</xdr:rowOff>
    </xdr:from>
    <xdr:ext cx="2262505" cy="1837170"/>
    <xdr:pic>
      <xdr:nvPicPr>
        <xdr:cNvPr id="48" name="图片 47">
          <a:extLst>
            <a:ext uri="{FF2B5EF4-FFF2-40B4-BE49-F238E27FC236}">
              <a16:creationId xmlns:a16="http://schemas.microsoft.com/office/drawing/2014/main" xmlns="" id="{BCB1BE8C-A886-46A5-AA31-B8B58E74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01917" y="18751261"/>
          <a:ext cx="2262505" cy="183717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689936</xdr:colOff>
      <xdr:row>30</xdr:row>
      <xdr:rowOff>210128</xdr:rowOff>
    </xdr:from>
    <xdr:ext cx="1287145" cy="1386320"/>
    <xdr:pic>
      <xdr:nvPicPr>
        <xdr:cNvPr id="49" name="图片 48">
          <a:extLst>
            <a:ext uri="{FF2B5EF4-FFF2-40B4-BE49-F238E27FC236}">
              <a16:creationId xmlns:a16="http://schemas.microsoft.com/office/drawing/2014/main" xmlns="" id="{3E09F3A9-2A24-4C0C-ACC1-2B999471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71527" y="12034598"/>
          <a:ext cx="1287145" cy="138632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171642</xdr:colOff>
      <xdr:row>83</xdr:row>
      <xdr:rowOff>192040</xdr:rowOff>
    </xdr:from>
    <xdr:ext cx="2262505" cy="1569989"/>
    <xdr:pic>
      <xdr:nvPicPr>
        <xdr:cNvPr id="50" name="图片 49">
          <a:extLst>
            <a:ext uri="{FF2B5EF4-FFF2-40B4-BE49-F238E27FC236}">
              <a16:creationId xmlns:a16="http://schemas.microsoft.com/office/drawing/2014/main" xmlns="" id="{AF29BF6C-173C-4369-8C58-4CD12F5A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53233" y="32144085"/>
          <a:ext cx="2262505" cy="156998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212751</xdr:colOff>
      <xdr:row>88</xdr:row>
      <xdr:rowOff>289278</xdr:rowOff>
    </xdr:from>
    <xdr:ext cx="2137948" cy="1423363"/>
    <xdr:pic>
      <xdr:nvPicPr>
        <xdr:cNvPr id="51" name="图片 50">
          <a:extLst>
            <a:ext uri="{FF2B5EF4-FFF2-40B4-BE49-F238E27FC236}">
              <a16:creationId xmlns:a16="http://schemas.microsoft.com/office/drawing/2014/main" xmlns="" id="{679B0C28-6856-49EE-A268-FEB6F9B6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55327" y="39476475"/>
          <a:ext cx="2137948" cy="142336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134793</xdr:colOff>
      <xdr:row>94</xdr:row>
      <xdr:rowOff>698365</xdr:rowOff>
    </xdr:from>
    <xdr:ext cx="1999775" cy="1427923"/>
    <xdr:pic>
      <xdr:nvPicPr>
        <xdr:cNvPr id="52" name="图片 51">
          <a:extLst>
            <a:ext uri="{FF2B5EF4-FFF2-40B4-BE49-F238E27FC236}">
              <a16:creationId xmlns:a16="http://schemas.microsoft.com/office/drawing/2014/main" xmlns="" id="{63C654B6-F342-4CA7-BD47-ED49EF01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6384" y="38057532"/>
          <a:ext cx="1999775" cy="142792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497609</xdr:colOff>
      <xdr:row>101</xdr:row>
      <xdr:rowOff>126712</xdr:rowOff>
    </xdr:from>
    <xdr:ext cx="1390650" cy="1271251"/>
    <xdr:pic>
      <xdr:nvPicPr>
        <xdr:cNvPr id="53" name="图片 52">
          <a:extLst>
            <a:ext uri="{FF2B5EF4-FFF2-40B4-BE49-F238E27FC236}">
              <a16:creationId xmlns:a16="http://schemas.microsoft.com/office/drawing/2014/main" xmlns="" id="{C1DC2534-F8B3-4EEA-B3C3-970736AFD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79200" y="40641636"/>
          <a:ext cx="1390650" cy="127125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593147</xdr:colOff>
      <xdr:row>104</xdr:row>
      <xdr:rowOff>107699</xdr:rowOff>
    </xdr:from>
    <xdr:ext cx="1542762" cy="1424867"/>
    <xdr:pic>
      <xdr:nvPicPr>
        <xdr:cNvPr id="54" name="图片 53">
          <a:extLst>
            <a:ext uri="{FF2B5EF4-FFF2-40B4-BE49-F238E27FC236}">
              <a16:creationId xmlns:a16="http://schemas.microsoft.com/office/drawing/2014/main" xmlns="" id="{B1C4F87E-F604-438D-9364-3B79BFB6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74738" y="42200502"/>
          <a:ext cx="1542762" cy="142486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461818</xdr:colOff>
      <xdr:row>108</xdr:row>
      <xdr:rowOff>164841</xdr:rowOff>
    </xdr:from>
    <xdr:ext cx="1796570" cy="1470765"/>
    <xdr:pic>
      <xdr:nvPicPr>
        <xdr:cNvPr id="55" name="图片 54">
          <a:extLst>
            <a:ext uri="{FF2B5EF4-FFF2-40B4-BE49-F238E27FC236}">
              <a16:creationId xmlns:a16="http://schemas.microsoft.com/office/drawing/2014/main" xmlns="" id="{0F63A8F1-0CE1-4130-B1CA-EDF68EC1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43409" y="43854765"/>
          <a:ext cx="1796570" cy="147076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250825</xdr:colOff>
      <xdr:row>114</xdr:row>
      <xdr:rowOff>385368</xdr:rowOff>
    </xdr:from>
    <xdr:ext cx="1806575" cy="2184009"/>
    <xdr:pic>
      <xdr:nvPicPr>
        <xdr:cNvPr id="56" name="图片 55">
          <a:extLst>
            <a:ext uri="{FF2B5EF4-FFF2-40B4-BE49-F238E27FC236}">
              <a16:creationId xmlns:a16="http://schemas.microsoft.com/office/drawing/2014/main" xmlns="" id="{06B7E672-A35A-47BC-B7D7-CA3CAAC3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32416" y="46451732"/>
          <a:ext cx="1806575" cy="218400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234701</xdr:colOff>
      <xdr:row>123</xdr:row>
      <xdr:rowOff>125441</xdr:rowOff>
    </xdr:from>
    <xdr:ext cx="1965960" cy="1674784"/>
    <xdr:pic>
      <xdr:nvPicPr>
        <xdr:cNvPr id="57" name="图片 56">
          <a:extLst>
            <a:ext uri="{FF2B5EF4-FFF2-40B4-BE49-F238E27FC236}">
              <a16:creationId xmlns:a16="http://schemas.microsoft.com/office/drawing/2014/main" xmlns="" id="{0ABEA12F-27DD-4369-9D1B-D2D0B1DC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16292" y="49742032"/>
          <a:ext cx="1965960" cy="1674784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835486</xdr:colOff>
      <xdr:row>128</xdr:row>
      <xdr:rowOff>32923</xdr:rowOff>
    </xdr:from>
    <xdr:ext cx="1004570" cy="846667"/>
    <xdr:pic>
      <xdr:nvPicPr>
        <xdr:cNvPr id="58" name="图片 57">
          <a:extLst>
            <a:ext uri="{FF2B5EF4-FFF2-40B4-BE49-F238E27FC236}">
              <a16:creationId xmlns:a16="http://schemas.microsoft.com/office/drawing/2014/main" xmlns="" id="{C0709435-4602-44CA-B8AC-F277639D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17077" y="52276105"/>
          <a:ext cx="1004570" cy="84666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740834</xdr:colOff>
      <xdr:row>129</xdr:row>
      <xdr:rowOff>143273</xdr:rowOff>
    </xdr:from>
    <xdr:ext cx="1278370" cy="1000495"/>
    <xdr:pic>
      <xdr:nvPicPr>
        <xdr:cNvPr id="59" name="图片 58">
          <a:extLst>
            <a:ext uri="{FF2B5EF4-FFF2-40B4-BE49-F238E27FC236}">
              <a16:creationId xmlns:a16="http://schemas.microsoft.com/office/drawing/2014/main" xmlns="" id="{2C495BCA-7A72-4D4A-9CB2-5A09B3DF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22425" y="53290849"/>
          <a:ext cx="1278370" cy="100049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922944</xdr:colOff>
      <xdr:row>134</xdr:row>
      <xdr:rowOff>24150</xdr:rowOff>
    </xdr:from>
    <xdr:ext cx="992505" cy="1262148"/>
    <xdr:pic>
      <xdr:nvPicPr>
        <xdr:cNvPr id="60" name="图片 59">
          <a:extLst>
            <a:ext uri="{FF2B5EF4-FFF2-40B4-BE49-F238E27FC236}">
              <a16:creationId xmlns:a16="http://schemas.microsoft.com/office/drawing/2014/main" xmlns="" id="{07E3A21B-CA8C-4C87-88A9-22749504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04535" y="54884302"/>
          <a:ext cx="992505" cy="126214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753533</xdr:colOff>
      <xdr:row>137</xdr:row>
      <xdr:rowOff>53013</xdr:rowOff>
    </xdr:from>
    <xdr:ext cx="1140460" cy="1171575"/>
    <xdr:pic>
      <xdr:nvPicPr>
        <xdr:cNvPr id="61" name="图片 60">
          <a:extLst>
            <a:ext uri="{FF2B5EF4-FFF2-40B4-BE49-F238E27FC236}">
              <a16:creationId xmlns:a16="http://schemas.microsoft.com/office/drawing/2014/main" xmlns="" id="{9E04CA34-5899-4B89-BFFE-B813788CE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35124" y="56442937"/>
          <a:ext cx="1140460" cy="11715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676275</xdr:colOff>
      <xdr:row>139</xdr:row>
      <xdr:rowOff>118745</xdr:rowOff>
    </xdr:from>
    <xdr:ext cx="1219200" cy="1309158"/>
    <xdr:pic>
      <xdr:nvPicPr>
        <xdr:cNvPr id="62" name="图片 61">
          <a:extLst>
            <a:ext uri="{FF2B5EF4-FFF2-40B4-BE49-F238E27FC236}">
              <a16:creationId xmlns:a16="http://schemas.microsoft.com/office/drawing/2014/main" xmlns="" id="{C90D47F8-3573-4F4F-82F1-FD69F2CF9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818851" y="64417306"/>
          <a:ext cx="1219200" cy="130915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791364</xdr:colOff>
      <xdr:row>142</xdr:row>
      <xdr:rowOff>99099</xdr:rowOff>
    </xdr:from>
    <xdr:ext cx="1266190" cy="1308485"/>
    <xdr:pic>
      <xdr:nvPicPr>
        <xdr:cNvPr id="63" name="图片 62">
          <a:extLst>
            <a:ext uri="{FF2B5EF4-FFF2-40B4-BE49-F238E27FC236}">
              <a16:creationId xmlns:a16="http://schemas.microsoft.com/office/drawing/2014/main" xmlns="" id="{FBFB08BE-C640-420D-80FE-4A087171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72955" y="59394629"/>
          <a:ext cx="1266190" cy="130848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568055</xdr:colOff>
      <xdr:row>147</xdr:row>
      <xdr:rowOff>228022</xdr:rowOff>
    </xdr:from>
    <xdr:ext cx="1824355" cy="1500909"/>
    <xdr:pic>
      <xdr:nvPicPr>
        <xdr:cNvPr id="64" name="图片 63">
          <a:extLst>
            <a:ext uri="{FF2B5EF4-FFF2-40B4-BE49-F238E27FC236}">
              <a16:creationId xmlns:a16="http://schemas.microsoft.com/office/drawing/2014/main" xmlns="" id="{4B603F70-1E56-4B0F-A9F4-8A03F848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49646" y="61216886"/>
          <a:ext cx="1824355" cy="150090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875530</xdr:colOff>
      <xdr:row>152</xdr:row>
      <xdr:rowOff>391971</xdr:rowOff>
    </xdr:from>
    <xdr:ext cx="999931" cy="901026"/>
    <xdr:pic>
      <xdr:nvPicPr>
        <xdr:cNvPr id="65" name="图片 64">
          <a:extLst>
            <a:ext uri="{FF2B5EF4-FFF2-40B4-BE49-F238E27FC236}">
              <a16:creationId xmlns:a16="http://schemas.microsoft.com/office/drawing/2014/main" xmlns="" id="{36F209F8-A42D-456F-BA20-095367DDA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57121" y="64094016"/>
          <a:ext cx="999931" cy="901026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287866</xdr:colOff>
      <xdr:row>156</xdr:row>
      <xdr:rowOff>100485</xdr:rowOff>
    </xdr:from>
    <xdr:ext cx="2256155" cy="2107046"/>
    <xdr:pic>
      <xdr:nvPicPr>
        <xdr:cNvPr id="66" name="图片 65">
          <a:extLst>
            <a:ext uri="{FF2B5EF4-FFF2-40B4-BE49-F238E27FC236}">
              <a16:creationId xmlns:a16="http://schemas.microsoft.com/office/drawing/2014/main" xmlns="" id="{4BBB354B-B28C-42EF-A483-2E1E576A4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169457" y="65332303"/>
          <a:ext cx="2256155" cy="2107046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181207</xdr:colOff>
      <xdr:row>63</xdr:row>
      <xdr:rowOff>124518</xdr:rowOff>
    </xdr:from>
    <xdr:ext cx="2137506" cy="1377344"/>
    <xdr:pic>
      <xdr:nvPicPr>
        <xdr:cNvPr id="67" name="图片 1">
          <a:extLst>
            <a:ext uri="{FF2B5EF4-FFF2-40B4-BE49-F238E27FC236}">
              <a16:creationId xmlns:a16="http://schemas.microsoft.com/office/drawing/2014/main" xmlns="" id="{435075BD-6934-43FA-81EF-9E344ED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62798" y="23253912"/>
          <a:ext cx="2137506" cy="1377344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469380</xdr:colOff>
      <xdr:row>78</xdr:row>
      <xdr:rowOff>18819</xdr:rowOff>
    </xdr:from>
    <xdr:ext cx="1905776" cy="1634105"/>
    <xdr:pic>
      <xdr:nvPicPr>
        <xdr:cNvPr id="68" name="图片 1">
          <a:extLst>
            <a:ext uri="{FF2B5EF4-FFF2-40B4-BE49-F238E27FC236}">
              <a16:creationId xmlns:a16="http://schemas.microsoft.com/office/drawing/2014/main" xmlns="" id="{DA45B630-1587-4A81-9E63-9C1DD37F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50971" y="29498213"/>
          <a:ext cx="1905776" cy="16341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644833</xdr:colOff>
      <xdr:row>166</xdr:row>
      <xdr:rowOff>141027</xdr:rowOff>
    </xdr:from>
    <xdr:ext cx="1508760" cy="1403139"/>
    <xdr:pic>
      <xdr:nvPicPr>
        <xdr:cNvPr id="69" name="图片 68">
          <a:extLst>
            <a:ext uri="{FF2B5EF4-FFF2-40B4-BE49-F238E27FC236}">
              <a16:creationId xmlns:a16="http://schemas.microsoft.com/office/drawing/2014/main" xmlns="" id="{50893358-C690-4213-B998-F466664FD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26424" y="68547845"/>
          <a:ext cx="1508760" cy="140313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723939</xdr:colOff>
      <xdr:row>170</xdr:row>
      <xdr:rowOff>280833</xdr:rowOff>
    </xdr:from>
    <xdr:ext cx="1440833" cy="1364682"/>
    <xdr:pic>
      <xdr:nvPicPr>
        <xdr:cNvPr id="70" name="图片 69">
          <a:extLst>
            <a:ext uri="{FF2B5EF4-FFF2-40B4-BE49-F238E27FC236}">
              <a16:creationId xmlns:a16="http://schemas.microsoft.com/office/drawing/2014/main" xmlns="" id="{DE2F7E79-5EC2-4912-8059-52B6D9F48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605530" y="70698485"/>
          <a:ext cx="1440833" cy="1364682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779317</xdr:colOff>
      <xdr:row>175</xdr:row>
      <xdr:rowOff>167343</xdr:rowOff>
    </xdr:from>
    <xdr:ext cx="1259841" cy="1348205"/>
    <xdr:pic>
      <xdr:nvPicPr>
        <xdr:cNvPr id="71" name="图片 70">
          <a:extLst>
            <a:ext uri="{FF2B5EF4-FFF2-40B4-BE49-F238E27FC236}">
              <a16:creationId xmlns:a16="http://schemas.microsoft.com/office/drawing/2014/main" xmlns="" id="{18E03971-2358-4063-9061-F19D718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660908" y="73057646"/>
          <a:ext cx="1259841" cy="13482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306628</xdr:colOff>
      <xdr:row>185</xdr:row>
      <xdr:rowOff>132215</xdr:rowOff>
    </xdr:from>
    <xdr:ext cx="2021616" cy="1772785"/>
    <xdr:pic>
      <xdr:nvPicPr>
        <xdr:cNvPr id="72" name="图片 71">
          <a:extLst>
            <a:ext uri="{FF2B5EF4-FFF2-40B4-BE49-F238E27FC236}">
              <a16:creationId xmlns:a16="http://schemas.microsoft.com/office/drawing/2014/main" xmlns="" id="{E8ED9EA4-9DA6-40AC-8C14-C998582C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188219" y="77582973"/>
          <a:ext cx="2021616" cy="177278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635519</xdr:colOff>
      <xdr:row>178</xdr:row>
      <xdr:rowOff>254443</xdr:rowOff>
    </xdr:from>
    <xdr:ext cx="1316990" cy="1297286"/>
    <xdr:pic>
      <xdr:nvPicPr>
        <xdr:cNvPr id="73" name="图片 72">
          <a:extLst>
            <a:ext uri="{FF2B5EF4-FFF2-40B4-BE49-F238E27FC236}">
              <a16:creationId xmlns:a16="http://schemas.microsoft.com/office/drawing/2014/main" xmlns="" id="{B63806F8-9830-4681-B5C3-3960F6DD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778095" y="82265655"/>
          <a:ext cx="1316990" cy="1297286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85629</xdr:colOff>
      <xdr:row>193</xdr:row>
      <xdr:rowOff>422602</xdr:rowOff>
    </xdr:from>
    <xdr:ext cx="2184747" cy="1790277"/>
    <xdr:pic>
      <xdr:nvPicPr>
        <xdr:cNvPr id="74" name="图片 73">
          <a:extLst>
            <a:ext uri="{FF2B5EF4-FFF2-40B4-BE49-F238E27FC236}">
              <a16:creationId xmlns:a16="http://schemas.microsoft.com/office/drawing/2014/main" xmlns="" id="{F8EE2B57-1949-478E-8AF2-E1543E2C1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967220" y="81981617"/>
          <a:ext cx="2184747" cy="179027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574001</xdr:colOff>
      <xdr:row>198</xdr:row>
      <xdr:rowOff>64482</xdr:rowOff>
    </xdr:from>
    <xdr:ext cx="1523423" cy="1225368"/>
    <xdr:pic>
      <xdr:nvPicPr>
        <xdr:cNvPr id="75" name="图片 74">
          <a:extLst>
            <a:ext uri="{FF2B5EF4-FFF2-40B4-BE49-F238E27FC236}">
              <a16:creationId xmlns:a16="http://schemas.microsoft.com/office/drawing/2014/main" xmlns="" id="{AD4E9AE3-DD0E-49CD-B4D0-2451FD702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55592" y="84250088"/>
          <a:ext cx="1523423" cy="122536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66194</xdr:colOff>
      <xdr:row>202</xdr:row>
      <xdr:rowOff>448195</xdr:rowOff>
    </xdr:from>
    <xdr:ext cx="2390775" cy="1789545"/>
    <xdr:pic>
      <xdr:nvPicPr>
        <xdr:cNvPr id="76" name="图片 75">
          <a:extLst>
            <a:ext uri="{FF2B5EF4-FFF2-40B4-BE49-F238E27FC236}">
              <a16:creationId xmlns:a16="http://schemas.microsoft.com/office/drawing/2014/main" xmlns="" id="{DA4FD6DD-0E91-41CE-B911-EEAE2B42C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947785" y="86519559"/>
          <a:ext cx="2390775" cy="178954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496455</xdr:colOff>
      <xdr:row>208</xdr:row>
      <xdr:rowOff>142548</xdr:rowOff>
    </xdr:from>
    <xdr:ext cx="1389304" cy="1263355"/>
    <xdr:pic>
      <xdr:nvPicPr>
        <xdr:cNvPr id="77" name="图片 76">
          <a:extLst>
            <a:ext uri="{FF2B5EF4-FFF2-40B4-BE49-F238E27FC236}">
              <a16:creationId xmlns:a16="http://schemas.microsoft.com/office/drawing/2014/main" xmlns="" id="{5D67CB21-92D1-4866-B259-7DD605CC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378046" y="89042548"/>
          <a:ext cx="1389304" cy="126335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519546</xdr:colOff>
      <xdr:row>212</xdr:row>
      <xdr:rowOff>111954</xdr:rowOff>
    </xdr:from>
    <xdr:ext cx="1729759" cy="1687117"/>
    <xdr:pic>
      <xdr:nvPicPr>
        <xdr:cNvPr id="78" name="图片 77">
          <a:extLst>
            <a:ext uri="{FF2B5EF4-FFF2-40B4-BE49-F238E27FC236}">
              <a16:creationId xmlns:a16="http://schemas.microsoft.com/office/drawing/2014/main" xmlns="" id="{B370CBB2-D646-4673-97B4-47E53DD9D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401137" y="91042030"/>
          <a:ext cx="1729759" cy="16871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584393</xdr:colOff>
      <xdr:row>215</xdr:row>
      <xdr:rowOff>276052</xdr:rowOff>
    </xdr:from>
    <xdr:ext cx="1609243" cy="1586586"/>
    <xdr:pic>
      <xdr:nvPicPr>
        <xdr:cNvPr id="79" name="图片 78">
          <a:extLst>
            <a:ext uri="{FF2B5EF4-FFF2-40B4-BE49-F238E27FC236}">
              <a16:creationId xmlns:a16="http://schemas.microsoft.com/office/drawing/2014/main" xmlns="" id="{154C297A-B1B3-4FD6-B26A-218B1F134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b="4968"/>
        <a:stretch/>
      </xdr:blipFill>
      <xdr:spPr>
        <a:xfrm>
          <a:off x="11465984" y="93053400"/>
          <a:ext cx="1609243" cy="1586586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150514</xdr:colOff>
      <xdr:row>226</xdr:row>
      <xdr:rowOff>596303</xdr:rowOff>
    </xdr:from>
    <xdr:ext cx="2129790" cy="1303731"/>
    <xdr:pic>
      <xdr:nvPicPr>
        <xdr:cNvPr id="80" name="图片 79">
          <a:extLst>
            <a:ext uri="{FF2B5EF4-FFF2-40B4-BE49-F238E27FC236}">
              <a16:creationId xmlns:a16="http://schemas.microsoft.com/office/drawing/2014/main" xmlns="" id="{DBB6B9BA-92DB-42E7-932E-B4A81C1E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32105" y="97693576"/>
          <a:ext cx="2129790" cy="130373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161386</xdr:colOff>
      <xdr:row>240</xdr:row>
      <xdr:rowOff>456218</xdr:rowOff>
    </xdr:from>
    <xdr:ext cx="1974523" cy="2021178"/>
    <xdr:pic>
      <xdr:nvPicPr>
        <xdr:cNvPr id="81" name="图片 80">
          <a:extLst>
            <a:ext uri="{FF2B5EF4-FFF2-40B4-BE49-F238E27FC236}">
              <a16:creationId xmlns:a16="http://schemas.microsoft.com/office/drawing/2014/main" xmlns="" id="{6A2BB173-C38D-4AAE-B368-79F24780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42977" y="104047809"/>
          <a:ext cx="1974523" cy="2021178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125075</xdr:colOff>
      <xdr:row>254</xdr:row>
      <xdr:rowOff>418997</xdr:rowOff>
    </xdr:from>
    <xdr:ext cx="2044988" cy="3061573"/>
    <xdr:pic>
      <xdr:nvPicPr>
        <xdr:cNvPr id="82" name="图片 81">
          <a:extLst>
            <a:ext uri="{FF2B5EF4-FFF2-40B4-BE49-F238E27FC236}">
              <a16:creationId xmlns:a16="http://schemas.microsoft.com/office/drawing/2014/main" xmlns="" id="{540C1C4C-7153-4854-976A-B7810DA4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06666" y="108965512"/>
          <a:ext cx="2044988" cy="306157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67349</xdr:colOff>
      <xdr:row>266</xdr:row>
      <xdr:rowOff>150475</xdr:rowOff>
    </xdr:from>
    <xdr:ext cx="2171396" cy="2206721"/>
    <xdr:pic>
      <xdr:nvPicPr>
        <xdr:cNvPr id="83" name="图片 82">
          <a:extLst>
            <a:ext uri="{FF2B5EF4-FFF2-40B4-BE49-F238E27FC236}">
              <a16:creationId xmlns:a16="http://schemas.microsoft.com/office/drawing/2014/main" xmlns="" id="{17A9BBBE-F48F-46BB-9C44-21F79815E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9313"/>
        <a:stretch/>
      </xdr:blipFill>
      <xdr:spPr>
        <a:xfrm>
          <a:off x="10948940" y="113315172"/>
          <a:ext cx="2171396" cy="220672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46953</xdr:colOff>
      <xdr:row>280</xdr:row>
      <xdr:rowOff>402667</xdr:rowOff>
    </xdr:from>
    <xdr:ext cx="2318098" cy="2377863"/>
    <xdr:pic>
      <xdr:nvPicPr>
        <xdr:cNvPr id="84" name="图片 83">
          <a:extLst>
            <a:ext uri="{FF2B5EF4-FFF2-40B4-BE49-F238E27FC236}">
              <a16:creationId xmlns:a16="http://schemas.microsoft.com/office/drawing/2014/main" xmlns="" id="{F2ABF55A-BE11-49BA-AD0A-DDC62704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928544" y="118810925"/>
          <a:ext cx="2318098" cy="237786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179820</xdr:colOff>
      <xdr:row>304</xdr:row>
      <xdr:rowOff>209491</xdr:rowOff>
    </xdr:from>
    <xdr:ext cx="2078355" cy="1829953"/>
    <xdr:pic>
      <xdr:nvPicPr>
        <xdr:cNvPr id="86" name="图片 85">
          <a:extLst>
            <a:ext uri="{FF2B5EF4-FFF2-40B4-BE49-F238E27FC236}">
              <a16:creationId xmlns:a16="http://schemas.microsoft.com/office/drawing/2014/main" xmlns="" id="{E580AABE-E757-45FB-A76B-2D599440B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61411" y="128258203"/>
          <a:ext cx="2078355" cy="182995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9</xdr:col>
      <xdr:colOff>378518</xdr:colOff>
      <xdr:row>8</xdr:row>
      <xdr:rowOff>479213</xdr:rowOff>
    </xdr:from>
    <xdr:ext cx="1865630" cy="1702184"/>
    <xdr:pic>
      <xdr:nvPicPr>
        <xdr:cNvPr id="87" name="图片 86" descr="1627895410(1)">
          <a:extLst>
            <a:ext uri="{FF2B5EF4-FFF2-40B4-BE49-F238E27FC236}">
              <a16:creationId xmlns:a16="http://schemas.microsoft.com/office/drawing/2014/main" xmlns="" id="{091BB4D2-FAE9-492F-9DF8-C6F8AC69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260109" y="3067319"/>
          <a:ext cx="1865630" cy="170218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1"/>
  <sheetViews>
    <sheetView tabSelected="1" view="pageBreakPreview" zoomScale="99" zoomScaleNormal="100" zoomScaleSheetLayoutView="90" workbookViewId="0">
      <selection activeCell="F14" sqref="F14"/>
    </sheetView>
  </sheetViews>
  <sheetFormatPr defaultColWidth="9" defaultRowHeight="12"/>
  <cols>
    <col min="1" max="1" width="5.375" style="12" customWidth="1"/>
    <col min="2" max="2" width="14" style="127" customWidth="1"/>
    <col min="3" max="3" width="20.125" style="12" customWidth="1"/>
    <col min="4" max="4" width="8.625" style="12" customWidth="1"/>
    <col min="5" max="5" width="9.375" style="12" customWidth="1"/>
    <col min="6" max="6" width="11.625" style="128" customWidth="1"/>
    <col min="7" max="7" width="14.375" style="12" customWidth="1"/>
    <col min="8" max="8" width="29.625" style="129" customWidth="1"/>
    <col min="9" max="9" width="29.625" style="12" customWidth="1"/>
    <col min="10" max="10" width="35.625" style="12" customWidth="1"/>
    <col min="11" max="11" width="30.125" style="12" customWidth="1"/>
    <col min="12" max="16384" width="9" style="12"/>
  </cols>
  <sheetData>
    <row r="1" spans="1:11" ht="33.950000000000003" customHeight="1">
      <c r="A1" s="8" t="s">
        <v>302</v>
      </c>
      <c r="B1" s="9"/>
      <c r="C1" s="8"/>
      <c r="D1" s="8"/>
      <c r="E1" s="8"/>
      <c r="F1" s="10"/>
      <c r="G1" s="8"/>
      <c r="H1" s="11"/>
      <c r="I1" s="8"/>
      <c r="J1" s="8"/>
      <c r="K1" s="8"/>
    </row>
    <row r="2" spans="1:11" s="17" customFormat="1" ht="27" customHeight="1">
      <c r="A2" s="13" t="s">
        <v>303</v>
      </c>
      <c r="B2" s="13"/>
      <c r="C2" s="14"/>
      <c r="D2" s="14"/>
      <c r="E2" s="14"/>
      <c r="F2" s="15" t="s">
        <v>304</v>
      </c>
      <c r="G2" s="16"/>
      <c r="H2" s="16"/>
      <c r="I2" s="16"/>
      <c r="J2" s="16"/>
      <c r="K2" s="16"/>
    </row>
    <row r="3" spans="1:11" s="17" customFormat="1" ht="27" customHeight="1">
      <c r="A3" s="13" t="s">
        <v>305</v>
      </c>
      <c r="B3" s="13"/>
      <c r="C3" s="14"/>
      <c r="D3" s="14"/>
      <c r="E3" s="14"/>
      <c r="F3" s="15" t="s">
        <v>306</v>
      </c>
      <c r="G3" s="16"/>
      <c r="H3" s="16"/>
      <c r="I3" s="16"/>
      <c r="J3" s="16"/>
      <c r="K3" s="16"/>
    </row>
    <row r="4" spans="1:11" s="17" customFormat="1" ht="27" customHeight="1">
      <c r="A4" s="13" t="s">
        <v>307</v>
      </c>
      <c r="B4" s="13"/>
      <c r="C4" s="14"/>
      <c r="D4" s="14"/>
      <c r="E4" s="14"/>
      <c r="F4" s="18"/>
      <c r="G4" s="19"/>
      <c r="H4" s="19"/>
      <c r="I4" s="19"/>
      <c r="J4" s="19"/>
      <c r="K4" s="19"/>
    </row>
    <row r="5" spans="1:11" s="17" customFormat="1" ht="27" customHeight="1">
      <c r="A5" s="20" t="s">
        <v>310</v>
      </c>
      <c r="B5" s="21"/>
      <c r="C5" s="21"/>
      <c r="D5" s="21"/>
      <c r="E5" s="21"/>
      <c r="F5" s="21"/>
      <c r="G5" s="21"/>
      <c r="H5" s="21"/>
      <c r="I5" s="21"/>
      <c r="J5" s="21"/>
      <c r="K5" s="22"/>
    </row>
    <row r="6" spans="1:11" s="17" customFormat="1" ht="27" customHeight="1">
      <c r="A6" s="23" t="s">
        <v>301</v>
      </c>
      <c r="B6" s="23"/>
      <c r="C6" s="23"/>
      <c r="D6" s="23"/>
      <c r="E6" s="23"/>
      <c r="F6" s="24"/>
      <c r="G6" s="23"/>
      <c r="H6" s="25"/>
      <c r="I6" s="23"/>
      <c r="J6" s="23"/>
      <c r="K6" s="23"/>
    </row>
    <row r="7" spans="1:11">
      <c r="A7" s="26" t="s">
        <v>0</v>
      </c>
      <c r="B7" s="27" t="s">
        <v>1</v>
      </c>
      <c r="C7" s="26" t="s">
        <v>2</v>
      </c>
      <c r="D7" s="26" t="s">
        <v>3</v>
      </c>
      <c r="E7" s="26" t="s">
        <v>4</v>
      </c>
      <c r="F7" s="28" t="s">
        <v>299</v>
      </c>
      <c r="G7" s="26" t="s">
        <v>300</v>
      </c>
      <c r="H7" s="29" t="s">
        <v>226</v>
      </c>
      <c r="I7" s="26" t="s">
        <v>225</v>
      </c>
      <c r="J7" s="30" t="s">
        <v>308</v>
      </c>
      <c r="K7" s="30" t="s">
        <v>309</v>
      </c>
    </row>
    <row r="8" spans="1:11">
      <c r="A8" s="31">
        <v>1</v>
      </c>
      <c r="B8" s="32" t="s">
        <v>5</v>
      </c>
      <c r="C8" s="33" t="s">
        <v>6</v>
      </c>
      <c r="D8" s="34" t="s">
        <v>7</v>
      </c>
      <c r="E8" s="143">
        <v>1</v>
      </c>
      <c r="F8" s="131">
        <f>SUM(G9:G12)</f>
        <v>0</v>
      </c>
      <c r="G8" s="131">
        <f t="shared" ref="G8:G14" si="0">E8*F8</f>
        <v>0</v>
      </c>
      <c r="H8" s="35" t="s">
        <v>223</v>
      </c>
      <c r="I8" s="35"/>
      <c r="J8" s="36"/>
      <c r="K8" s="36"/>
    </row>
    <row r="9" spans="1:11" ht="36">
      <c r="A9" s="37" t="s">
        <v>9</v>
      </c>
      <c r="B9" s="38" t="s">
        <v>10</v>
      </c>
      <c r="C9" s="39" t="s">
        <v>311</v>
      </c>
      <c r="D9" s="38" t="s">
        <v>11</v>
      </c>
      <c r="E9" s="144">
        <f>2.2*0.8</f>
        <v>1.7600000000000002</v>
      </c>
      <c r="F9" s="3"/>
      <c r="G9" s="130">
        <f t="shared" si="0"/>
        <v>0</v>
      </c>
      <c r="H9" s="40" t="s">
        <v>224</v>
      </c>
      <c r="I9" s="40" t="s">
        <v>227</v>
      </c>
      <c r="J9" s="36"/>
      <c r="K9" s="36"/>
    </row>
    <row r="10" spans="1:11" ht="72.75">
      <c r="A10" s="41"/>
      <c r="B10" s="38" t="s">
        <v>13</v>
      </c>
      <c r="C10" s="42" t="s">
        <v>231</v>
      </c>
      <c r="D10" s="38" t="s">
        <v>14</v>
      </c>
      <c r="E10" s="144">
        <f>2.2*0.8*0.85</f>
        <v>1.4960000000000002</v>
      </c>
      <c r="F10" s="3"/>
      <c r="G10" s="130">
        <f t="shared" si="0"/>
        <v>0</v>
      </c>
      <c r="H10" s="40" t="s">
        <v>234</v>
      </c>
      <c r="I10" s="40" t="s">
        <v>228</v>
      </c>
      <c r="J10" s="36"/>
      <c r="K10" s="36"/>
    </row>
    <row r="11" spans="1:11" ht="36">
      <c r="A11" s="41"/>
      <c r="B11" s="38" t="s">
        <v>15</v>
      </c>
      <c r="C11" s="42"/>
      <c r="D11" s="38" t="s">
        <v>16</v>
      </c>
      <c r="E11" s="144">
        <f>(0.8+0.85)*2*2+2.2*3</f>
        <v>13.2</v>
      </c>
      <c r="F11" s="3"/>
      <c r="G11" s="130">
        <f t="shared" si="0"/>
        <v>0</v>
      </c>
      <c r="H11" s="40" t="s">
        <v>229</v>
      </c>
      <c r="I11" s="40" t="s">
        <v>230</v>
      </c>
      <c r="J11" s="36"/>
      <c r="K11" s="36"/>
    </row>
    <row r="12" spans="1:11" ht="36.75">
      <c r="A12" s="43"/>
      <c r="B12" s="44" t="s">
        <v>17</v>
      </c>
      <c r="C12" s="39" t="s">
        <v>18</v>
      </c>
      <c r="D12" s="45" t="s">
        <v>220</v>
      </c>
      <c r="E12" s="144">
        <f>0.56*0.66+0.62*0.66*2</f>
        <v>1.1880000000000002</v>
      </c>
      <c r="F12" s="3"/>
      <c r="G12" s="130">
        <f t="shared" si="0"/>
        <v>0</v>
      </c>
      <c r="H12" s="40" t="s">
        <v>233</v>
      </c>
      <c r="I12" s="40" t="s">
        <v>232</v>
      </c>
      <c r="J12" s="36"/>
      <c r="K12" s="36"/>
    </row>
    <row r="13" spans="1:11">
      <c r="A13" s="32">
        <v>2</v>
      </c>
      <c r="B13" s="32" t="s">
        <v>278</v>
      </c>
      <c r="C13" s="32" t="s">
        <v>19</v>
      </c>
      <c r="D13" s="34" t="s">
        <v>20</v>
      </c>
      <c r="E13" s="143">
        <v>2</v>
      </c>
      <c r="F13" s="46"/>
      <c r="G13" s="131">
        <f t="shared" si="0"/>
        <v>0</v>
      </c>
      <c r="H13" s="35" t="s">
        <v>237</v>
      </c>
      <c r="I13" s="35" t="s">
        <v>236</v>
      </c>
      <c r="J13" s="36"/>
      <c r="K13" s="36"/>
    </row>
    <row r="14" spans="1:11" ht="24">
      <c r="A14" s="32">
        <v>3</v>
      </c>
      <c r="B14" s="47" t="s">
        <v>295</v>
      </c>
      <c r="C14" s="33" t="s">
        <v>298</v>
      </c>
      <c r="D14" s="34" t="s">
        <v>20</v>
      </c>
      <c r="E14" s="143">
        <v>1</v>
      </c>
      <c r="F14" s="48"/>
      <c r="G14" s="131">
        <f t="shared" si="0"/>
        <v>0</v>
      </c>
      <c r="H14" s="35" t="s">
        <v>276</v>
      </c>
      <c r="I14" s="35" t="s">
        <v>236</v>
      </c>
      <c r="J14" s="36"/>
      <c r="K14" s="36"/>
    </row>
    <row r="15" spans="1:11" ht="18.75">
      <c r="A15" s="23" t="s">
        <v>21</v>
      </c>
      <c r="B15" s="23"/>
      <c r="C15" s="23"/>
      <c r="D15" s="23"/>
      <c r="E15" s="23"/>
      <c r="F15" s="23"/>
      <c r="G15" s="23"/>
      <c r="H15" s="25"/>
      <c r="I15" s="23"/>
      <c r="J15" s="23"/>
      <c r="K15" s="23"/>
    </row>
    <row r="16" spans="1:11">
      <c r="A16" s="49">
        <v>1</v>
      </c>
      <c r="B16" s="32" t="s">
        <v>5</v>
      </c>
      <c r="C16" s="33" t="s">
        <v>22</v>
      </c>
      <c r="D16" s="50" t="s">
        <v>7</v>
      </c>
      <c r="E16" s="145">
        <v>2</v>
      </c>
      <c r="F16" s="131">
        <f>SUM(G17:G20)</f>
        <v>0</v>
      </c>
      <c r="G16" s="131">
        <f t="shared" ref="G16:G56" si="1">E16*F16</f>
        <v>0</v>
      </c>
      <c r="H16" s="51" t="s">
        <v>235</v>
      </c>
      <c r="I16" s="51"/>
      <c r="J16" s="36"/>
      <c r="K16" s="36"/>
    </row>
    <row r="17" spans="1:11" ht="36">
      <c r="A17" s="52" t="s">
        <v>9</v>
      </c>
      <c r="B17" s="53" t="s">
        <v>10</v>
      </c>
      <c r="C17" s="39" t="s">
        <v>23</v>
      </c>
      <c r="D17" s="53" t="s">
        <v>11</v>
      </c>
      <c r="E17" s="146">
        <f>1.5*0.7</f>
        <v>1.0499999999999998</v>
      </c>
      <c r="F17" s="3"/>
      <c r="G17" s="130">
        <f t="shared" si="1"/>
        <v>0</v>
      </c>
      <c r="H17" s="2" t="s">
        <v>12</v>
      </c>
      <c r="I17" s="40" t="s">
        <v>227</v>
      </c>
      <c r="J17" s="36"/>
      <c r="K17" s="36"/>
    </row>
    <row r="18" spans="1:11" ht="72.75">
      <c r="A18" s="55"/>
      <c r="B18" s="53" t="s">
        <v>13</v>
      </c>
      <c r="C18" s="42" t="s">
        <v>238</v>
      </c>
      <c r="D18" s="56" t="s">
        <v>14</v>
      </c>
      <c r="E18" s="146">
        <f>(1.5-0.61)*0.7*0.85</f>
        <v>0.52954999999999997</v>
      </c>
      <c r="F18" s="3"/>
      <c r="G18" s="130">
        <f t="shared" si="1"/>
        <v>0</v>
      </c>
      <c r="H18" s="40" t="s">
        <v>234</v>
      </c>
      <c r="I18" s="40" t="s">
        <v>228</v>
      </c>
      <c r="J18" s="36"/>
      <c r="K18" s="36"/>
    </row>
    <row r="19" spans="1:11" ht="36">
      <c r="A19" s="55"/>
      <c r="B19" s="53" t="s">
        <v>15</v>
      </c>
      <c r="C19" s="42"/>
      <c r="D19" s="53" t="s">
        <v>16</v>
      </c>
      <c r="E19" s="146">
        <f>(0.7+0.85)*2*2+1.5*3</f>
        <v>10.7</v>
      </c>
      <c r="F19" s="3"/>
      <c r="G19" s="130">
        <f t="shared" si="1"/>
        <v>0</v>
      </c>
      <c r="H19" s="40" t="s">
        <v>229</v>
      </c>
      <c r="I19" s="40" t="s">
        <v>230</v>
      </c>
      <c r="J19" s="36"/>
      <c r="K19" s="36"/>
    </row>
    <row r="20" spans="1:11" ht="36.75">
      <c r="A20" s="57"/>
      <c r="B20" s="38" t="s">
        <v>17</v>
      </c>
      <c r="C20" s="39" t="s">
        <v>24</v>
      </c>
      <c r="D20" s="45" t="s">
        <v>220</v>
      </c>
      <c r="E20" s="144">
        <f>0.61*0.66+0.52*0.66*2</f>
        <v>1.089</v>
      </c>
      <c r="F20" s="3"/>
      <c r="G20" s="130">
        <f t="shared" si="1"/>
        <v>0</v>
      </c>
      <c r="H20" s="40" t="s">
        <v>233</v>
      </c>
      <c r="I20" s="40" t="s">
        <v>232</v>
      </c>
      <c r="J20" s="36"/>
      <c r="K20" s="36"/>
    </row>
    <row r="21" spans="1:11">
      <c r="A21" s="49">
        <v>2</v>
      </c>
      <c r="B21" s="58" t="s">
        <v>25</v>
      </c>
      <c r="C21" s="59" t="s">
        <v>26</v>
      </c>
      <c r="D21" s="60" t="s">
        <v>7</v>
      </c>
      <c r="E21" s="147">
        <v>2</v>
      </c>
      <c r="F21" s="132">
        <f>SUM(G23:G24)</f>
        <v>0</v>
      </c>
      <c r="G21" s="131">
        <f t="shared" si="1"/>
        <v>0</v>
      </c>
      <c r="H21" s="61" t="s">
        <v>27</v>
      </c>
      <c r="I21" s="61"/>
      <c r="J21" s="36"/>
      <c r="K21" s="36"/>
    </row>
    <row r="22" spans="1:11" ht="24">
      <c r="A22" s="62"/>
      <c r="B22" s="27" t="s">
        <v>287</v>
      </c>
      <c r="C22" s="39" t="s">
        <v>285</v>
      </c>
      <c r="D22" s="53" t="s">
        <v>11</v>
      </c>
      <c r="E22" s="146">
        <f>1.5*0.8</f>
        <v>1.2000000000000002</v>
      </c>
      <c r="F22" s="63"/>
      <c r="G22" s="133">
        <f>E22*F22</f>
        <v>0</v>
      </c>
      <c r="H22" s="64" t="s">
        <v>83</v>
      </c>
      <c r="I22" s="2" t="s">
        <v>284</v>
      </c>
      <c r="J22" s="36"/>
      <c r="K22" s="36"/>
    </row>
    <row r="23" spans="1:11" ht="24">
      <c r="A23" s="62"/>
      <c r="B23" s="27" t="s">
        <v>283</v>
      </c>
      <c r="C23" s="39" t="s">
        <v>286</v>
      </c>
      <c r="D23" s="53" t="s">
        <v>11</v>
      </c>
      <c r="E23" s="146">
        <f>1.5*0.3</f>
        <v>0.44999999999999996</v>
      </c>
      <c r="F23" s="65"/>
      <c r="G23" s="134">
        <f>E22*F23</f>
        <v>0</v>
      </c>
      <c r="H23" s="64" t="s">
        <v>83</v>
      </c>
      <c r="I23" s="66" t="s">
        <v>279</v>
      </c>
      <c r="J23" s="36"/>
      <c r="K23" s="36"/>
    </row>
    <row r="24" spans="1:11" ht="24">
      <c r="A24" s="62"/>
      <c r="B24" s="27" t="s">
        <v>31</v>
      </c>
      <c r="C24" s="42" t="s">
        <v>32</v>
      </c>
      <c r="D24" s="54" t="s">
        <v>20</v>
      </c>
      <c r="E24" s="146">
        <v>1</v>
      </c>
      <c r="F24" s="65"/>
      <c r="G24" s="134">
        <f t="shared" si="1"/>
        <v>0</v>
      </c>
      <c r="H24" s="66" t="s">
        <v>252</v>
      </c>
      <c r="I24" s="66" t="s">
        <v>33</v>
      </c>
      <c r="J24" s="36"/>
      <c r="K24" s="36"/>
    </row>
    <row r="25" spans="1:11">
      <c r="A25" s="49">
        <v>3</v>
      </c>
      <c r="B25" s="67" t="s">
        <v>5</v>
      </c>
      <c r="C25" s="33" t="s">
        <v>34</v>
      </c>
      <c r="D25" s="50" t="s">
        <v>7</v>
      </c>
      <c r="E25" s="145">
        <v>1</v>
      </c>
      <c r="F25" s="135">
        <f>SUM(G26:G30)</f>
        <v>0</v>
      </c>
      <c r="G25" s="131">
        <f t="shared" si="1"/>
        <v>0</v>
      </c>
      <c r="H25" s="51" t="s">
        <v>8</v>
      </c>
      <c r="I25" s="69"/>
      <c r="J25" s="70"/>
      <c r="K25" s="70"/>
    </row>
    <row r="26" spans="1:11" ht="36">
      <c r="A26" s="52" t="s">
        <v>9</v>
      </c>
      <c r="B26" s="27" t="s">
        <v>10</v>
      </c>
      <c r="C26" s="39" t="s">
        <v>35</v>
      </c>
      <c r="D26" s="53" t="s">
        <v>11</v>
      </c>
      <c r="E26" s="134">
        <f>2.65*0.75</f>
        <v>1.9874999999999998</v>
      </c>
      <c r="F26" s="3"/>
      <c r="G26" s="130">
        <f t="shared" si="1"/>
        <v>0</v>
      </c>
      <c r="H26" s="2" t="s">
        <v>12</v>
      </c>
      <c r="I26" s="40" t="s">
        <v>227</v>
      </c>
      <c r="J26" s="71"/>
      <c r="K26" s="71"/>
    </row>
    <row r="27" spans="1:11" ht="72.75">
      <c r="A27" s="55"/>
      <c r="B27" s="27" t="s">
        <v>13</v>
      </c>
      <c r="C27" s="42" t="s">
        <v>240</v>
      </c>
      <c r="D27" s="56" t="s">
        <v>14</v>
      </c>
      <c r="E27" s="134">
        <f>(2.65-0.635*2)*0.75*0.85</f>
        <v>0.87974999999999992</v>
      </c>
      <c r="F27" s="3"/>
      <c r="G27" s="130">
        <f t="shared" si="1"/>
        <v>0</v>
      </c>
      <c r="H27" s="40" t="s">
        <v>234</v>
      </c>
      <c r="I27" s="40" t="s">
        <v>228</v>
      </c>
      <c r="J27" s="71"/>
      <c r="K27" s="71"/>
    </row>
    <row r="28" spans="1:11" ht="36">
      <c r="A28" s="55"/>
      <c r="B28" s="27" t="s">
        <v>15</v>
      </c>
      <c r="C28" s="42"/>
      <c r="D28" s="53" t="s">
        <v>16</v>
      </c>
      <c r="E28" s="134">
        <f>(0.75+0.85)*2*3+2.65*3</f>
        <v>17.55</v>
      </c>
      <c r="F28" s="3"/>
      <c r="G28" s="130">
        <f t="shared" si="1"/>
        <v>0</v>
      </c>
      <c r="H28" s="40" t="s">
        <v>229</v>
      </c>
      <c r="I28" s="40" t="s">
        <v>230</v>
      </c>
      <c r="J28" s="71"/>
      <c r="K28" s="71"/>
    </row>
    <row r="29" spans="1:11" ht="24">
      <c r="A29" s="55"/>
      <c r="B29" s="27" t="s">
        <v>88</v>
      </c>
      <c r="C29" s="42"/>
      <c r="D29" s="53" t="s">
        <v>36</v>
      </c>
      <c r="E29" s="148">
        <v>1</v>
      </c>
      <c r="F29" s="3"/>
      <c r="G29" s="134">
        <f t="shared" si="1"/>
        <v>0</v>
      </c>
      <c r="H29" s="64" t="s">
        <v>83</v>
      </c>
      <c r="I29" s="7" t="s">
        <v>251</v>
      </c>
      <c r="J29" s="71"/>
      <c r="K29" s="71"/>
    </row>
    <row r="30" spans="1:11" ht="36.75">
      <c r="A30" s="57"/>
      <c r="B30" s="27" t="s">
        <v>17</v>
      </c>
      <c r="C30" s="39" t="s">
        <v>37</v>
      </c>
      <c r="D30" s="45" t="s">
        <v>220</v>
      </c>
      <c r="E30" s="149">
        <f>0.635*0.66*2+0.57*0.66*3</f>
        <v>1.9668000000000001</v>
      </c>
      <c r="F30" s="3"/>
      <c r="G30" s="130">
        <f t="shared" si="1"/>
        <v>0</v>
      </c>
      <c r="H30" s="40" t="s">
        <v>233</v>
      </c>
      <c r="I30" s="40" t="s">
        <v>232</v>
      </c>
      <c r="J30" s="73"/>
      <c r="K30" s="73"/>
    </row>
    <row r="31" spans="1:11" ht="26.25" customHeight="1">
      <c r="A31" s="49">
        <v>4</v>
      </c>
      <c r="B31" s="67" t="s">
        <v>25</v>
      </c>
      <c r="C31" s="59" t="s">
        <v>38</v>
      </c>
      <c r="D31" s="60" t="s">
        <v>7</v>
      </c>
      <c r="E31" s="147">
        <v>1</v>
      </c>
      <c r="F31" s="132">
        <f>SUM(G32:G34)</f>
        <v>0</v>
      </c>
      <c r="G31" s="131">
        <f t="shared" si="1"/>
        <v>0</v>
      </c>
      <c r="H31" s="61" t="s">
        <v>27</v>
      </c>
      <c r="I31" s="61"/>
      <c r="J31" s="36"/>
      <c r="K31" s="36"/>
    </row>
    <row r="32" spans="1:11" ht="34.5" customHeight="1">
      <c r="A32" s="62" t="s">
        <v>9</v>
      </c>
      <c r="B32" s="27" t="s">
        <v>287</v>
      </c>
      <c r="C32" s="42" t="s">
        <v>39</v>
      </c>
      <c r="D32" s="56" t="s">
        <v>14</v>
      </c>
      <c r="E32" s="146">
        <f>1.3*0.8</f>
        <v>1.04</v>
      </c>
      <c r="F32" s="65"/>
      <c r="G32" s="130">
        <f t="shared" si="1"/>
        <v>0</v>
      </c>
      <c r="H32" s="64" t="s">
        <v>83</v>
      </c>
      <c r="I32" s="2" t="s">
        <v>284</v>
      </c>
      <c r="J32" s="36"/>
      <c r="K32" s="36"/>
    </row>
    <row r="33" spans="1:11" ht="34.5" customHeight="1">
      <c r="A33" s="62"/>
      <c r="B33" s="27" t="s">
        <v>283</v>
      </c>
      <c r="C33" s="42" t="s">
        <v>291</v>
      </c>
      <c r="D33" s="53" t="s">
        <v>11</v>
      </c>
      <c r="E33" s="146">
        <f>1.3*0.3*2</f>
        <v>0.78</v>
      </c>
      <c r="F33" s="65"/>
      <c r="G33" s="134">
        <f t="shared" si="1"/>
        <v>0</v>
      </c>
      <c r="H33" s="64" t="s">
        <v>83</v>
      </c>
      <c r="I33" s="66" t="s">
        <v>279</v>
      </c>
      <c r="J33" s="36"/>
      <c r="K33" s="36"/>
    </row>
    <row r="34" spans="1:11" ht="34.5" customHeight="1">
      <c r="A34" s="62"/>
      <c r="B34" s="27" t="s">
        <v>31</v>
      </c>
      <c r="C34" s="42" t="s">
        <v>32</v>
      </c>
      <c r="D34" s="54" t="s">
        <v>20</v>
      </c>
      <c r="E34" s="146">
        <v>1</v>
      </c>
      <c r="F34" s="65"/>
      <c r="G34" s="134">
        <f t="shared" si="1"/>
        <v>0</v>
      </c>
      <c r="H34" s="66" t="s">
        <v>252</v>
      </c>
      <c r="I34" s="66" t="s">
        <v>33</v>
      </c>
      <c r="J34" s="36"/>
      <c r="K34" s="36"/>
    </row>
    <row r="35" spans="1:11">
      <c r="A35" s="49">
        <v>5</v>
      </c>
      <c r="B35" s="67" t="s">
        <v>5</v>
      </c>
      <c r="C35" s="33" t="s">
        <v>40</v>
      </c>
      <c r="D35" s="50" t="s">
        <v>7</v>
      </c>
      <c r="E35" s="145">
        <v>1</v>
      </c>
      <c r="F35" s="135">
        <f>SUM(G36:G39)</f>
        <v>0</v>
      </c>
      <c r="G35" s="131">
        <f t="shared" si="1"/>
        <v>0</v>
      </c>
      <c r="H35" s="51" t="s">
        <v>8</v>
      </c>
      <c r="I35" s="51"/>
      <c r="J35" s="36"/>
      <c r="K35" s="36"/>
    </row>
    <row r="36" spans="1:11" ht="36">
      <c r="A36" s="52" t="s">
        <v>9</v>
      </c>
      <c r="B36" s="27" t="s">
        <v>10</v>
      </c>
      <c r="C36" s="39" t="s">
        <v>41</v>
      </c>
      <c r="D36" s="53" t="s">
        <v>11</v>
      </c>
      <c r="E36" s="146">
        <f>4.56*0.75</f>
        <v>3.42</v>
      </c>
      <c r="F36" s="3"/>
      <c r="G36" s="130">
        <f t="shared" si="1"/>
        <v>0</v>
      </c>
      <c r="H36" s="2" t="s">
        <v>12</v>
      </c>
      <c r="I36" s="40" t="s">
        <v>227</v>
      </c>
      <c r="J36" s="36"/>
      <c r="K36" s="36"/>
    </row>
    <row r="37" spans="1:11" ht="72.75">
      <c r="A37" s="55"/>
      <c r="B37" s="27" t="s">
        <v>13</v>
      </c>
      <c r="C37" s="42" t="s">
        <v>40</v>
      </c>
      <c r="D37" s="56" t="s">
        <v>14</v>
      </c>
      <c r="E37" s="146">
        <f>4.8*0.75*0.85</f>
        <v>3.0599999999999996</v>
      </c>
      <c r="F37" s="3"/>
      <c r="G37" s="130">
        <f t="shared" si="1"/>
        <v>0</v>
      </c>
      <c r="H37" s="40" t="s">
        <v>234</v>
      </c>
      <c r="I37" s="40" t="s">
        <v>228</v>
      </c>
      <c r="J37" s="36"/>
      <c r="K37" s="36"/>
    </row>
    <row r="38" spans="1:11" ht="36">
      <c r="A38" s="55"/>
      <c r="B38" s="27" t="s">
        <v>15</v>
      </c>
      <c r="C38" s="42"/>
      <c r="D38" s="53" t="s">
        <v>16</v>
      </c>
      <c r="E38" s="146">
        <f>(0.75+0.85)*2*4+4.8*3</f>
        <v>27.2</v>
      </c>
      <c r="F38" s="3"/>
      <c r="G38" s="130">
        <f t="shared" si="1"/>
        <v>0</v>
      </c>
      <c r="H38" s="40" t="s">
        <v>229</v>
      </c>
      <c r="I38" s="40" t="s">
        <v>230</v>
      </c>
      <c r="J38" s="36"/>
      <c r="K38" s="36"/>
    </row>
    <row r="39" spans="1:11" ht="36.75">
      <c r="A39" s="57"/>
      <c r="B39" s="27" t="s">
        <v>17</v>
      </c>
      <c r="C39" s="39" t="s">
        <v>42</v>
      </c>
      <c r="D39" s="45" t="s">
        <v>220</v>
      </c>
      <c r="E39" s="149">
        <f>0.57*0.66*2</f>
        <v>0.75239999999999996</v>
      </c>
      <c r="F39" s="3"/>
      <c r="G39" s="130">
        <f t="shared" si="1"/>
        <v>0</v>
      </c>
      <c r="H39" s="40" t="s">
        <v>233</v>
      </c>
      <c r="I39" s="40" t="s">
        <v>232</v>
      </c>
      <c r="J39" s="73"/>
      <c r="K39" s="73"/>
    </row>
    <row r="40" spans="1:11">
      <c r="A40" s="49">
        <v>6</v>
      </c>
      <c r="B40" s="67" t="s">
        <v>25</v>
      </c>
      <c r="C40" s="59" t="s">
        <v>43</v>
      </c>
      <c r="D40" s="60" t="s">
        <v>7</v>
      </c>
      <c r="E40" s="147">
        <v>1</v>
      </c>
      <c r="F40" s="132">
        <f>SUM(G41:G43)</f>
        <v>0</v>
      </c>
      <c r="G40" s="131">
        <f t="shared" si="1"/>
        <v>0</v>
      </c>
      <c r="H40" s="61" t="s">
        <v>27</v>
      </c>
      <c r="I40" s="61"/>
      <c r="J40" s="36"/>
      <c r="K40" s="36"/>
    </row>
    <row r="41" spans="1:11" ht="24">
      <c r="A41" s="62" t="s">
        <v>9</v>
      </c>
      <c r="B41" s="27" t="s">
        <v>287</v>
      </c>
      <c r="C41" s="42" t="s">
        <v>44</v>
      </c>
      <c r="D41" s="56" t="s">
        <v>14</v>
      </c>
      <c r="E41" s="146">
        <f>0.9*0.8</f>
        <v>0.72000000000000008</v>
      </c>
      <c r="F41" s="65"/>
      <c r="G41" s="130">
        <f t="shared" si="1"/>
        <v>0</v>
      </c>
      <c r="H41" s="64" t="s">
        <v>83</v>
      </c>
      <c r="I41" s="2" t="s">
        <v>284</v>
      </c>
      <c r="J41" s="36"/>
      <c r="K41" s="36"/>
    </row>
    <row r="42" spans="1:11" ht="24">
      <c r="A42" s="62"/>
      <c r="B42" s="27" t="s">
        <v>30</v>
      </c>
      <c r="C42" s="42" t="s">
        <v>290</v>
      </c>
      <c r="D42" s="53" t="s">
        <v>11</v>
      </c>
      <c r="E42" s="146">
        <f>0.9*0.3*2</f>
        <v>0.54</v>
      </c>
      <c r="F42" s="65"/>
      <c r="G42" s="134">
        <f t="shared" si="1"/>
        <v>0</v>
      </c>
      <c r="H42" s="64" t="s">
        <v>83</v>
      </c>
      <c r="I42" s="66" t="s">
        <v>279</v>
      </c>
      <c r="J42" s="36"/>
      <c r="K42" s="36"/>
    </row>
    <row r="43" spans="1:11" ht="24">
      <c r="A43" s="62"/>
      <c r="B43" s="27" t="s">
        <v>31</v>
      </c>
      <c r="C43" s="42" t="s">
        <v>32</v>
      </c>
      <c r="D43" s="54" t="s">
        <v>20</v>
      </c>
      <c r="E43" s="146">
        <v>1</v>
      </c>
      <c r="F43" s="65"/>
      <c r="G43" s="134">
        <f t="shared" si="1"/>
        <v>0</v>
      </c>
      <c r="H43" s="66" t="s">
        <v>252</v>
      </c>
      <c r="I43" s="66" t="s">
        <v>33</v>
      </c>
      <c r="J43" s="36"/>
      <c r="K43" s="36"/>
    </row>
    <row r="44" spans="1:11">
      <c r="A44" s="49">
        <v>7</v>
      </c>
      <c r="B44" s="67" t="s">
        <v>25</v>
      </c>
      <c r="C44" s="59" t="s">
        <v>45</v>
      </c>
      <c r="D44" s="60" t="s">
        <v>7</v>
      </c>
      <c r="E44" s="147">
        <v>1</v>
      </c>
      <c r="F44" s="132">
        <f>SUM(G45:G47)</f>
        <v>0</v>
      </c>
      <c r="G44" s="131">
        <f t="shared" si="1"/>
        <v>0</v>
      </c>
      <c r="H44" s="61" t="s">
        <v>27</v>
      </c>
      <c r="I44" s="61"/>
      <c r="J44" s="36"/>
      <c r="K44" s="36"/>
    </row>
    <row r="45" spans="1:11" ht="24">
      <c r="A45" s="62" t="s">
        <v>9</v>
      </c>
      <c r="B45" s="27" t="s">
        <v>287</v>
      </c>
      <c r="C45" s="42" t="s">
        <v>46</v>
      </c>
      <c r="D45" s="56" t="s">
        <v>14</v>
      </c>
      <c r="E45" s="146">
        <f>0.89*0.8</f>
        <v>0.71200000000000008</v>
      </c>
      <c r="F45" s="65"/>
      <c r="G45" s="130">
        <f t="shared" si="1"/>
        <v>0</v>
      </c>
      <c r="H45" s="64" t="s">
        <v>83</v>
      </c>
      <c r="I45" s="2" t="s">
        <v>284</v>
      </c>
      <c r="J45" s="36"/>
      <c r="K45" s="36"/>
    </row>
    <row r="46" spans="1:11" ht="24">
      <c r="A46" s="62"/>
      <c r="B46" s="27" t="s">
        <v>30</v>
      </c>
      <c r="C46" s="42" t="s">
        <v>289</v>
      </c>
      <c r="D46" s="53" t="s">
        <v>11</v>
      </c>
      <c r="E46" s="146">
        <f>0.89*0.3</f>
        <v>0.26700000000000002</v>
      </c>
      <c r="F46" s="65"/>
      <c r="G46" s="134">
        <f t="shared" si="1"/>
        <v>0</v>
      </c>
      <c r="H46" s="64" t="s">
        <v>83</v>
      </c>
      <c r="I46" s="66" t="s">
        <v>279</v>
      </c>
      <c r="J46" s="36"/>
      <c r="K46" s="36"/>
    </row>
    <row r="47" spans="1:11" ht="24">
      <c r="A47" s="62"/>
      <c r="B47" s="27" t="s">
        <v>31</v>
      </c>
      <c r="C47" s="42" t="s">
        <v>32</v>
      </c>
      <c r="D47" s="54" t="s">
        <v>20</v>
      </c>
      <c r="E47" s="146">
        <v>1</v>
      </c>
      <c r="F47" s="65"/>
      <c r="G47" s="134">
        <f t="shared" si="1"/>
        <v>0</v>
      </c>
      <c r="H47" s="66" t="s">
        <v>252</v>
      </c>
      <c r="I47" s="66" t="s">
        <v>33</v>
      </c>
      <c r="J47" s="36"/>
      <c r="K47" s="36"/>
    </row>
    <row r="48" spans="1:11">
      <c r="A48" s="49">
        <v>8</v>
      </c>
      <c r="B48" s="67" t="s">
        <v>25</v>
      </c>
      <c r="C48" s="59" t="s">
        <v>47</v>
      </c>
      <c r="D48" s="60" t="s">
        <v>7</v>
      </c>
      <c r="E48" s="147">
        <v>1</v>
      </c>
      <c r="F48" s="132">
        <f>SUM(G49:G51)</f>
        <v>0</v>
      </c>
      <c r="G48" s="131">
        <f t="shared" si="1"/>
        <v>0</v>
      </c>
      <c r="H48" s="61" t="s">
        <v>27</v>
      </c>
      <c r="I48" s="61"/>
      <c r="J48" s="36"/>
      <c r="K48" s="36"/>
    </row>
    <row r="49" spans="1:11" ht="24">
      <c r="A49" s="62" t="s">
        <v>9</v>
      </c>
      <c r="B49" s="27" t="s">
        <v>287</v>
      </c>
      <c r="C49" s="42" t="s">
        <v>48</v>
      </c>
      <c r="D49" s="56" t="s">
        <v>14</v>
      </c>
      <c r="E49" s="146">
        <f>1*0.8</f>
        <v>0.8</v>
      </c>
      <c r="F49" s="65"/>
      <c r="G49" s="130">
        <f t="shared" si="1"/>
        <v>0</v>
      </c>
      <c r="H49" s="64" t="s">
        <v>83</v>
      </c>
      <c r="I49" s="2" t="s">
        <v>284</v>
      </c>
      <c r="J49" s="36"/>
      <c r="K49" s="36"/>
    </row>
    <row r="50" spans="1:11" ht="24">
      <c r="A50" s="62"/>
      <c r="B50" s="27" t="s">
        <v>30</v>
      </c>
      <c r="C50" s="42" t="s">
        <v>288</v>
      </c>
      <c r="D50" s="53" t="s">
        <v>11</v>
      </c>
      <c r="E50" s="146">
        <f>1*0.3</f>
        <v>0.3</v>
      </c>
      <c r="F50" s="65"/>
      <c r="G50" s="134">
        <f t="shared" si="1"/>
        <v>0</v>
      </c>
      <c r="H50" s="64" t="s">
        <v>83</v>
      </c>
      <c r="I50" s="66" t="s">
        <v>279</v>
      </c>
      <c r="J50" s="36"/>
      <c r="K50" s="36"/>
    </row>
    <row r="51" spans="1:11" ht="24">
      <c r="A51" s="62"/>
      <c r="B51" s="27" t="s">
        <v>31</v>
      </c>
      <c r="C51" s="42" t="s">
        <v>32</v>
      </c>
      <c r="D51" s="54" t="s">
        <v>20</v>
      </c>
      <c r="E51" s="146">
        <v>1</v>
      </c>
      <c r="F51" s="65"/>
      <c r="G51" s="134">
        <f t="shared" si="1"/>
        <v>0</v>
      </c>
      <c r="H51" s="66" t="s">
        <v>252</v>
      </c>
      <c r="I51" s="66" t="s">
        <v>33</v>
      </c>
      <c r="J51" s="36"/>
      <c r="K51" s="36"/>
    </row>
    <row r="52" spans="1:11">
      <c r="A52" s="49">
        <v>9</v>
      </c>
      <c r="B52" s="67" t="s">
        <v>25</v>
      </c>
      <c r="C52" s="59" t="s">
        <v>47</v>
      </c>
      <c r="D52" s="60" t="s">
        <v>7</v>
      </c>
      <c r="E52" s="147">
        <v>2</v>
      </c>
      <c r="F52" s="132">
        <f>SUM(G53:G54)</f>
        <v>0</v>
      </c>
      <c r="G52" s="131">
        <f t="shared" si="1"/>
        <v>0</v>
      </c>
      <c r="H52" s="61" t="s">
        <v>27</v>
      </c>
      <c r="I52" s="61"/>
      <c r="J52" s="36"/>
      <c r="K52" s="36"/>
    </row>
    <row r="53" spans="1:11" ht="24">
      <c r="A53" s="62" t="s">
        <v>9</v>
      </c>
      <c r="B53" s="27" t="s">
        <v>287</v>
      </c>
      <c r="C53" s="42" t="s">
        <v>48</v>
      </c>
      <c r="D53" s="56" t="s">
        <v>14</v>
      </c>
      <c r="E53" s="146">
        <f>1*0.8</f>
        <v>0.8</v>
      </c>
      <c r="F53" s="65"/>
      <c r="G53" s="130">
        <f t="shared" si="1"/>
        <v>0</v>
      </c>
      <c r="H53" s="64" t="s">
        <v>83</v>
      </c>
      <c r="I53" s="2" t="s">
        <v>284</v>
      </c>
      <c r="J53" s="36"/>
      <c r="K53" s="36"/>
    </row>
    <row r="54" spans="1:11" ht="24">
      <c r="A54" s="62"/>
      <c r="B54" s="27" t="s">
        <v>31</v>
      </c>
      <c r="C54" s="42" t="s">
        <v>32</v>
      </c>
      <c r="D54" s="54" t="s">
        <v>20</v>
      </c>
      <c r="E54" s="146">
        <v>1</v>
      </c>
      <c r="F54" s="65"/>
      <c r="G54" s="134">
        <f t="shared" si="1"/>
        <v>0</v>
      </c>
      <c r="H54" s="66" t="s">
        <v>252</v>
      </c>
      <c r="I54" s="66" t="s">
        <v>33</v>
      </c>
      <c r="J54" s="36"/>
      <c r="K54" s="36"/>
    </row>
    <row r="55" spans="1:11" ht="36">
      <c r="A55" s="49">
        <v>10</v>
      </c>
      <c r="B55" s="32" t="s">
        <v>293</v>
      </c>
      <c r="C55" s="32" t="s">
        <v>294</v>
      </c>
      <c r="D55" s="50" t="s">
        <v>20</v>
      </c>
      <c r="E55" s="145">
        <v>1</v>
      </c>
      <c r="F55" s="48"/>
      <c r="G55" s="131">
        <f t="shared" si="1"/>
        <v>0</v>
      </c>
      <c r="H55" s="35" t="s">
        <v>277</v>
      </c>
      <c r="I55" s="35" t="s">
        <v>236</v>
      </c>
      <c r="J55" s="36"/>
      <c r="K55" s="36"/>
    </row>
    <row r="56" spans="1:11" ht="24">
      <c r="A56" s="49">
        <v>11</v>
      </c>
      <c r="B56" s="47" t="s">
        <v>297</v>
      </c>
      <c r="C56" s="33" t="s">
        <v>296</v>
      </c>
      <c r="D56" s="50" t="s">
        <v>20</v>
      </c>
      <c r="E56" s="145">
        <v>1</v>
      </c>
      <c r="F56" s="48"/>
      <c r="G56" s="131">
        <f t="shared" si="1"/>
        <v>0</v>
      </c>
      <c r="H56" s="35" t="s">
        <v>276</v>
      </c>
      <c r="I56" s="35" t="s">
        <v>236</v>
      </c>
      <c r="J56" s="36"/>
      <c r="K56" s="36"/>
    </row>
    <row r="57" spans="1:11">
      <c r="A57" s="74" t="s">
        <v>49</v>
      </c>
      <c r="B57" s="74"/>
      <c r="C57" s="74"/>
      <c r="D57" s="74"/>
      <c r="E57" s="74"/>
      <c r="F57" s="74"/>
      <c r="G57" s="74"/>
      <c r="H57" s="2"/>
      <c r="I57" s="2"/>
      <c r="J57" s="75"/>
      <c r="K57" s="75"/>
    </row>
    <row r="58" spans="1:11" ht="24">
      <c r="A58" s="76">
        <v>1</v>
      </c>
      <c r="B58" s="76" t="s">
        <v>50</v>
      </c>
      <c r="C58" s="32"/>
      <c r="D58" s="49" t="s">
        <v>20</v>
      </c>
      <c r="E58" s="150">
        <v>8</v>
      </c>
      <c r="F58" s="77"/>
      <c r="G58" s="131">
        <f>E58*F58</f>
        <v>0</v>
      </c>
      <c r="H58" s="51" t="s">
        <v>51</v>
      </c>
      <c r="I58" s="61" t="s">
        <v>33</v>
      </c>
      <c r="J58" s="75"/>
      <c r="K58" s="75"/>
    </row>
    <row r="59" spans="1:11" ht="18.75">
      <c r="A59" s="23" t="s">
        <v>52</v>
      </c>
      <c r="B59" s="23"/>
      <c r="C59" s="23"/>
      <c r="D59" s="23"/>
      <c r="E59" s="23"/>
      <c r="F59" s="23"/>
      <c r="G59" s="23"/>
      <c r="H59" s="25"/>
      <c r="I59" s="23"/>
      <c r="J59" s="23"/>
      <c r="K59" s="23"/>
    </row>
    <row r="60" spans="1:11" s="81" customFormat="1">
      <c r="A60" s="78" t="s">
        <v>53</v>
      </c>
      <c r="B60" s="78"/>
      <c r="C60" s="78"/>
      <c r="D60" s="78"/>
      <c r="E60" s="78"/>
      <c r="F60" s="78"/>
      <c r="G60" s="78"/>
      <c r="H60" s="78"/>
      <c r="I60" s="79"/>
      <c r="J60" s="80"/>
      <c r="K60" s="80"/>
    </row>
    <row r="61" spans="1:11" s="81" customFormat="1">
      <c r="A61" s="49">
        <v>1</v>
      </c>
      <c r="B61" s="32" t="s">
        <v>54</v>
      </c>
      <c r="C61" s="33" t="s">
        <v>55</v>
      </c>
      <c r="D61" s="50" t="s">
        <v>7</v>
      </c>
      <c r="E61" s="145">
        <v>1</v>
      </c>
      <c r="F61" s="135">
        <f>SUM(G62:G65)</f>
        <v>0</v>
      </c>
      <c r="G61" s="131">
        <f t="shared" ref="G61:G118" si="2">E61*F61</f>
        <v>0</v>
      </c>
      <c r="H61" s="51" t="s">
        <v>8</v>
      </c>
      <c r="I61" s="51"/>
      <c r="J61" s="82"/>
      <c r="K61" s="82"/>
    </row>
    <row r="62" spans="1:11" s="81" customFormat="1" ht="36">
      <c r="A62" s="52" t="s">
        <v>9</v>
      </c>
      <c r="B62" s="53" t="s">
        <v>10</v>
      </c>
      <c r="C62" s="39" t="s">
        <v>56</v>
      </c>
      <c r="D62" s="53" t="s">
        <v>11</v>
      </c>
      <c r="E62" s="148">
        <f>2.1*0.75</f>
        <v>1.5750000000000002</v>
      </c>
      <c r="F62" s="3"/>
      <c r="G62" s="130">
        <f t="shared" si="2"/>
        <v>0</v>
      </c>
      <c r="H62" s="2" t="s">
        <v>12</v>
      </c>
      <c r="I62" s="40" t="s">
        <v>227</v>
      </c>
      <c r="J62" s="82"/>
      <c r="K62" s="82"/>
    </row>
    <row r="63" spans="1:11" s="81" customFormat="1" ht="72.75">
      <c r="A63" s="55"/>
      <c r="B63" s="53" t="s">
        <v>13</v>
      </c>
      <c r="C63" s="42" t="s">
        <v>241</v>
      </c>
      <c r="D63" s="56" t="s">
        <v>14</v>
      </c>
      <c r="E63" s="148">
        <f>(2.1-0.675)*0.75*0.85</f>
        <v>0.90843750000000001</v>
      </c>
      <c r="F63" s="3"/>
      <c r="G63" s="130">
        <f t="shared" si="2"/>
        <v>0</v>
      </c>
      <c r="H63" s="40" t="s">
        <v>234</v>
      </c>
      <c r="I63" s="40" t="s">
        <v>228</v>
      </c>
      <c r="J63" s="82"/>
      <c r="K63" s="82"/>
    </row>
    <row r="64" spans="1:11" s="81" customFormat="1" ht="36">
      <c r="A64" s="55"/>
      <c r="B64" s="53" t="s">
        <v>15</v>
      </c>
      <c r="C64" s="42"/>
      <c r="D64" s="53" t="s">
        <v>16</v>
      </c>
      <c r="E64" s="148">
        <f>(0.75+0.85)*2*3+2.1*3</f>
        <v>15.900000000000002</v>
      </c>
      <c r="F64" s="3"/>
      <c r="G64" s="130">
        <f t="shared" si="2"/>
        <v>0</v>
      </c>
      <c r="H64" s="40" t="s">
        <v>229</v>
      </c>
      <c r="I64" s="40" t="s">
        <v>230</v>
      </c>
      <c r="J64" s="82"/>
      <c r="K64" s="82"/>
    </row>
    <row r="65" spans="1:12" s="81" customFormat="1" ht="36.75">
      <c r="A65" s="57"/>
      <c r="B65" s="38" t="s">
        <v>17</v>
      </c>
      <c r="C65" s="39" t="s">
        <v>57</v>
      </c>
      <c r="D65" s="45" t="s">
        <v>220</v>
      </c>
      <c r="E65" s="149">
        <f>0.675*0.66+0.57*0.66</f>
        <v>0.8217000000000001</v>
      </c>
      <c r="F65" s="3"/>
      <c r="G65" s="130">
        <f t="shared" si="2"/>
        <v>0</v>
      </c>
      <c r="H65" s="40" t="s">
        <v>233</v>
      </c>
      <c r="I65" s="40" t="s">
        <v>232</v>
      </c>
      <c r="J65" s="73"/>
      <c r="K65" s="73"/>
      <c r="L65" s="12"/>
    </row>
    <row r="66" spans="1:12" s="81" customFormat="1">
      <c r="A66" s="49">
        <v>2</v>
      </c>
      <c r="B66" s="32" t="s">
        <v>58</v>
      </c>
      <c r="C66" s="33" t="s">
        <v>59</v>
      </c>
      <c r="D66" s="50" t="s">
        <v>7</v>
      </c>
      <c r="E66" s="145">
        <v>1</v>
      </c>
      <c r="F66" s="135">
        <f>SUM(G67:G70)</f>
        <v>0</v>
      </c>
      <c r="G66" s="131">
        <f t="shared" si="2"/>
        <v>0</v>
      </c>
      <c r="H66" s="51" t="s">
        <v>8</v>
      </c>
      <c r="I66" s="51"/>
      <c r="J66" s="82"/>
      <c r="K66" s="82"/>
    </row>
    <row r="67" spans="1:12" s="81" customFormat="1" ht="36">
      <c r="A67" s="52" t="s">
        <v>9</v>
      </c>
      <c r="B67" s="53" t="s">
        <v>10</v>
      </c>
      <c r="C67" s="39" t="s">
        <v>60</v>
      </c>
      <c r="D67" s="53" t="s">
        <v>11</v>
      </c>
      <c r="E67" s="148">
        <f>1*1</f>
        <v>1</v>
      </c>
      <c r="F67" s="3"/>
      <c r="G67" s="130">
        <f t="shared" si="2"/>
        <v>0</v>
      </c>
      <c r="H67" s="2" t="s">
        <v>12</v>
      </c>
      <c r="I67" s="40" t="s">
        <v>227</v>
      </c>
      <c r="J67" s="82"/>
      <c r="K67" s="82"/>
    </row>
    <row r="68" spans="1:12" s="81" customFormat="1" ht="72.75">
      <c r="A68" s="55"/>
      <c r="B68" s="53" t="s">
        <v>13</v>
      </c>
      <c r="C68" s="42" t="s">
        <v>59</v>
      </c>
      <c r="D68" s="56" t="s">
        <v>14</v>
      </c>
      <c r="E68" s="148">
        <f>1*1*0.85</f>
        <v>0.85</v>
      </c>
      <c r="F68" s="3"/>
      <c r="G68" s="130">
        <f t="shared" si="2"/>
        <v>0</v>
      </c>
      <c r="H68" s="40" t="s">
        <v>234</v>
      </c>
      <c r="I68" s="40" t="s">
        <v>228</v>
      </c>
      <c r="J68" s="82"/>
      <c r="K68" s="82"/>
    </row>
    <row r="69" spans="1:12" s="81" customFormat="1" ht="36">
      <c r="A69" s="55"/>
      <c r="B69" s="53" t="s">
        <v>15</v>
      </c>
      <c r="C69" s="42"/>
      <c r="D69" s="53" t="s">
        <v>16</v>
      </c>
      <c r="E69" s="151">
        <f>(0.75+0.85)*2*2+1*4+0.85+0.4</f>
        <v>11.65</v>
      </c>
      <c r="F69" s="3"/>
      <c r="G69" s="130">
        <f t="shared" si="2"/>
        <v>0</v>
      </c>
      <c r="H69" s="40" t="s">
        <v>229</v>
      </c>
      <c r="I69" s="40" t="s">
        <v>230</v>
      </c>
      <c r="J69" s="82"/>
      <c r="K69" s="82"/>
    </row>
    <row r="70" spans="1:12" s="81" customFormat="1" ht="36.75">
      <c r="A70" s="57"/>
      <c r="B70" s="38" t="s">
        <v>17</v>
      </c>
      <c r="C70" s="39" t="s">
        <v>61</v>
      </c>
      <c r="D70" s="53" t="s">
        <v>11</v>
      </c>
      <c r="E70" s="149">
        <f>0.82*0.66*2</f>
        <v>1.0824</v>
      </c>
      <c r="F70" s="3"/>
      <c r="G70" s="130">
        <f t="shared" si="2"/>
        <v>0</v>
      </c>
      <c r="H70" s="40" t="s">
        <v>233</v>
      </c>
      <c r="I70" s="40" t="s">
        <v>232</v>
      </c>
      <c r="J70" s="73"/>
      <c r="K70" s="73"/>
      <c r="L70" s="12"/>
    </row>
    <row r="71" spans="1:12" s="81" customFormat="1">
      <c r="A71" s="49">
        <v>3</v>
      </c>
      <c r="B71" s="32" t="s">
        <v>5</v>
      </c>
      <c r="C71" s="33" t="s">
        <v>62</v>
      </c>
      <c r="D71" s="50" t="s">
        <v>7</v>
      </c>
      <c r="E71" s="145">
        <v>1</v>
      </c>
      <c r="F71" s="135">
        <f>SUM(G72:G75)</f>
        <v>0</v>
      </c>
      <c r="G71" s="131">
        <f t="shared" si="2"/>
        <v>0</v>
      </c>
      <c r="H71" s="51" t="s">
        <v>8</v>
      </c>
      <c r="I71" s="51"/>
      <c r="J71" s="82"/>
      <c r="K71" s="82"/>
    </row>
    <row r="72" spans="1:12" s="81" customFormat="1" ht="36">
      <c r="A72" s="52" t="s">
        <v>9</v>
      </c>
      <c r="B72" s="53" t="s">
        <v>10</v>
      </c>
      <c r="C72" s="39" t="s">
        <v>63</v>
      </c>
      <c r="D72" s="53" t="s">
        <v>11</v>
      </c>
      <c r="E72" s="148">
        <f>1.3*0.75</f>
        <v>0.97500000000000009</v>
      </c>
      <c r="F72" s="3"/>
      <c r="G72" s="130">
        <f t="shared" si="2"/>
        <v>0</v>
      </c>
      <c r="H72" s="2" t="s">
        <v>12</v>
      </c>
      <c r="I72" s="40" t="s">
        <v>227</v>
      </c>
      <c r="J72" s="82"/>
      <c r="K72" s="82"/>
    </row>
    <row r="73" spans="1:12" s="81" customFormat="1" ht="36.75">
      <c r="A73" s="55"/>
      <c r="B73" s="53" t="s">
        <v>242</v>
      </c>
      <c r="C73" s="42" t="s">
        <v>244</v>
      </c>
      <c r="D73" s="53" t="s">
        <v>11</v>
      </c>
      <c r="E73" s="148">
        <f>1.3*0.75</f>
        <v>0.97500000000000009</v>
      </c>
      <c r="F73" s="3"/>
      <c r="G73" s="130">
        <f t="shared" si="2"/>
        <v>0</v>
      </c>
      <c r="H73" s="40" t="s">
        <v>233</v>
      </c>
      <c r="I73" s="40" t="s">
        <v>243</v>
      </c>
      <c r="J73" s="82"/>
      <c r="K73" s="82"/>
    </row>
    <row r="74" spans="1:12" s="81" customFormat="1" ht="36">
      <c r="A74" s="55"/>
      <c r="B74" s="53" t="s">
        <v>15</v>
      </c>
      <c r="C74" s="42"/>
      <c r="D74" s="53" t="s">
        <v>16</v>
      </c>
      <c r="E74" s="148">
        <f>(0.75+0.85)*2*3+1.3*3</f>
        <v>13.500000000000002</v>
      </c>
      <c r="F74" s="3"/>
      <c r="G74" s="130">
        <f t="shared" si="2"/>
        <v>0</v>
      </c>
      <c r="H74" s="40" t="s">
        <v>229</v>
      </c>
      <c r="I74" s="40" t="s">
        <v>230</v>
      </c>
      <c r="J74" s="82"/>
      <c r="K74" s="82"/>
    </row>
    <row r="75" spans="1:12" s="81" customFormat="1" ht="36.75">
      <c r="A75" s="57"/>
      <c r="B75" s="38" t="s">
        <v>17</v>
      </c>
      <c r="C75" s="39" t="s">
        <v>64</v>
      </c>
      <c r="D75" s="53" t="s">
        <v>11</v>
      </c>
      <c r="E75" s="149">
        <f>0.57*0.66</f>
        <v>0.37619999999999998</v>
      </c>
      <c r="F75" s="3"/>
      <c r="G75" s="130">
        <f t="shared" si="2"/>
        <v>0</v>
      </c>
      <c r="H75" s="40" t="s">
        <v>233</v>
      </c>
      <c r="I75" s="40" t="s">
        <v>232</v>
      </c>
      <c r="J75" s="73"/>
      <c r="K75" s="73"/>
      <c r="L75" s="12"/>
    </row>
    <row r="76" spans="1:12" s="81" customFormat="1" ht="36">
      <c r="A76" s="49">
        <v>4</v>
      </c>
      <c r="B76" s="32" t="s">
        <v>293</v>
      </c>
      <c r="C76" s="32" t="s">
        <v>294</v>
      </c>
      <c r="D76" s="50" t="s">
        <v>20</v>
      </c>
      <c r="E76" s="145">
        <v>1</v>
      </c>
      <c r="F76" s="48"/>
      <c r="G76" s="131">
        <f t="shared" si="2"/>
        <v>0</v>
      </c>
      <c r="H76" s="35" t="s">
        <v>277</v>
      </c>
      <c r="I76" s="35" t="s">
        <v>236</v>
      </c>
      <c r="J76" s="82"/>
      <c r="K76" s="82"/>
    </row>
    <row r="77" spans="1:12" s="81" customFormat="1" ht="24">
      <c r="A77" s="49">
        <v>5</v>
      </c>
      <c r="B77" s="47" t="s">
        <v>297</v>
      </c>
      <c r="C77" s="33" t="s">
        <v>296</v>
      </c>
      <c r="D77" s="50" t="s">
        <v>20</v>
      </c>
      <c r="E77" s="145">
        <v>1</v>
      </c>
      <c r="F77" s="48"/>
      <c r="G77" s="131">
        <f t="shared" si="2"/>
        <v>0</v>
      </c>
      <c r="H77" s="35" t="s">
        <v>276</v>
      </c>
      <c r="I77" s="35" t="s">
        <v>236</v>
      </c>
      <c r="J77" s="82"/>
      <c r="K77" s="82"/>
    </row>
    <row r="78" spans="1:12" s="81" customFormat="1">
      <c r="A78" s="49">
        <v>6</v>
      </c>
      <c r="B78" s="32" t="s">
        <v>5</v>
      </c>
      <c r="C78" s="33" t="s">
        <v>65</v>
      </c>
      <c r="D78" s="50" t="s">
        <v>7</v>
      </c>
      <c r="E78" s="145">
        <v>1</v>
      </c>
      <c r="F78" s="135">
        <f>SUM(G79:G82)</f>
        <v>0</v>
      </c>
      <c r="G78" s="131">
        <f t="shared" si="2"/>
        <v>0</v>
      </c>
      <c r="H78" s="51" t="s">
        <v>8</v>
      </c>
      <c r="I78" s="69"/>
      <c r="J78" s="83"/>
      <c r="K78" s="83"/>
    </row>
    <row r="79" spans="1:12" s="81" customFormat="1" ht="36">
      <c r="A79" s="52" t="s">
        <v>9</v>
      </c>
      <c r="B79" s="53" t="s">
        <v>10</v>
      </c>
      <c r="C79" s="39" t="s">
        <v>66</v>
      </c>
      <c r="D79" s="53" t="s">
        <v>11</v>
      </c>
      <c r="E79" s="148">
        <f>2*0.75</f>
        <v>1.5</v>
      </c>
      <c r="F79" s="3"/>
      <c r="G79" s="130">
        <f t="shared" si="2"/>
        <v>0</v>
      </c>
      <c r="H79" s="2" t="s">
        <v>12</v>
      </c>
      <c r="I79" s="40" t="s">
        <v>227</v>
      </c>
      <c r="J79" s="84"/>
      <c r="K79" s="84"/>
    </row>
    <row r="80" spans="1:12" s="81" customFormat="1" ht="72.75">
      <c r="A80" s="55"/>
      <c r="B80" s="53" t="s">
        <v>13</v>
      </c>
      <c r="C80" s="42" t="s">
        <v>245</v>
      </c>
      <c r="D80" s="56" t="s">
        <v>14</v>
      </c>
      <c r="E80" s="148">
        <f>(2-0.525)*0.75*0.85</f>
        <v>0.94031250000000011</v>
      </c>
      <c r="F80" s="3"/>
      <c r="G80" s="130">
        <f t="shared" si="2"/>
        <v>0</v>
      </c>
      <c r="H80" s="40" t="s">
        <v>234</v>
      </c>
      <c r="I80" s="40" t="s">
        <v>228</v>
      </c>
      <c r="J80" s="84"/>
      <c r="K80" s="84"/>
    </row>
    <row r="81" spans="1:12" s="81" customFormat="1" ht="36">
      <c r="A81" s="55"/>
      <c r="B81" s="53" t="s">
        <v>15</v>
      </c>
      <c r="C81" s="42"/>
      <c r="D81" s="53" t="s">
        <v>16</v>
      </c>
      <c r="E81" s="148">
        <f>(0.75+0.85)*2*2+2*3</f>
        <v>12.4</v>
      </c>
      <c r="F81" s="3"/>
      <c r="G81" s="130">
        <f t="shared" si="2"/>
        <v>0</v>
      </c>
      <c r="H81" s="40" t="s">
        <v>229</v>
      </c>
      <c r="I81" s="40" t="s">
        <v>230</v>
      </c>
      <c r="J81" s="84"/>
      <c r="K81" s="84"/>
    </row>
    <row r="82" spans="1:12" s="81" customFormat="1" ht="36.75">
      <c r="A82" s="57"/>
      <c r="B82" s="38" t="s">
        <v>17</v>
      </c>
      <c r="C82" s="39" t="s">
        <v>67</v>
      </c>
      <c r="D82" s="53" t="s">
        <v>11</v>
      </c>
      <c r="E82" s="149">
        <f>0.525*0.66+0.57*0.66*2</f>
        <v>1.0989</v>
      </c>
      <c r="F82" s="3"/>
      <c r="G82" s="130">
        <f t="shared" si="2"/>
        <v>0</v>
      </c>
      <c r="H82" s="40" t="s">
        <v>233</v>
      </c>
      <c r="I82" s="40" t="s">
        <v>232</v>
      </c>
      <c r="J82" s="85"/>
      <c r="K82" s="85"/>
      <c r="L82" s="12"/>
    </row>
    <row r="83" spans="1:12">
      <c r="A83" s="49">
        <v>7</v>
      </c>
      <c r="B83" s="32" t="s">
        <v>54</v>
      </c>
      <c r="C83" s="33" t="s">
        <v>65</v>
      </c>
      <c r="D83" s="50" t="s">
        <v>7</v>
      </c>
      <c r="E83" s="145">
        <v>1</v>
      </c>
      <c r="F83" s="135">
        <f>SUM(G84:G87)</f>
        <v>0</v>
      </c>
      <c r="G83" s="131">
        <f t="shared" si="2"/>
        <v>0</v>
      </c>
      <c r="H83" s="51" t="s">
        <v>8</v>
      </c>
      <c r="I83" s="69"/>
      <c r="J83" s="70"/>
      <c r="K83" s="70"/>
    </row>
    <row r="84" spans="1:12" ht="36">
      <c r="A84" s="52" t="s">
        <v>9</v>
      </c>
      <c r="B84" s="53" t="s">
        <v>10</v>
      </c>
      <c r="C84" s="39" t="s">
        <v>66</v>
      </c>
      <c r="D84" s="53" t="s">
        <v>11</v>
      </c>
      <c r="E84" s="146">
        <f>2*0.75</f>
        <v>1.5</v>
      </c>
      <c r="F84" s="3"/>
      <c r="G84" s="130">
        <f t="shared" si="2"/>
        <v>0</v>
      </c>
      <c r="H84" s="2" t="s">
        <v>12</v>
      </c>
      <c r="I84" s="40" t="s">
        <v>227</v>
      </c>
      <c r="J84" s="71"/>
      <c r="K84" s="71"/>
    </row>
    <row r="85" spans="1:12" ht="72.75">
      <c r="A85" s="55"/>
      <c r="B85" s="86" t="s">
        <v>13</v>
      </c>
      <c r="C85" s="42" t="s">
        <v>246</v>
      </c>
      <c r="D85" s="56" t="s">
        <v>14</v>
      </c>
      <c r="E85" s="146">
        <f>2*0.75*(0.85-0.5)</f>
        <v>0.52499999999999991</v>
      </c>
      <c r="F85" s="3"/>
      <c r="G85" s="130">
        <f t="shared" si="2"/>
        <v>0</v>
      </c>
      <c r="H85" s="40" t="s">
        <v>234</v>
      </c>
      <c r="I85" s="40" t="s">
        <v>228</v>
      </c>
      <c r="J85" s="71"/>
      <c r="K85" s="71"/>
    </row>
    <row r="86" spans="1:12" ht="36">
      <c r="A86" s="55"/>
      <c r="B86" s="53" t="s">
        <v>15</v>
      </c>
      <c r="C86" s="42"/>
      <c r="D86" s="53" t="s">
        <v>16</v>
      </c>
      <c r="E86" s="146">
        <f>(0.75+0.85)*2*2+2*3</f>
        <v>12.4</v>
      </c>
      <c r="F86" s="3"/>
      <c r="G86" s="130">
        <f t="shared" si="2"/>
        <v>0</v>
      </c>
      <c r="H86" s="40" t="s">
        <v>229</v>
      </c>
      <c r="I86" s="40" t="s">
        <v>230</v>
      </c>
      <c r="J86" s="71"/>
      <c r="K86" s="71"/>
    </row>
    <row r="87" spans="1:12" s="81" customFormat="1" ht="36.75">
      <c r="A87" s="57"/>
      <c r="B87" s="38" t="s">
        <v>17</v>
      </c>
      <c r="C87" s="39" t="s">
        <v>68</v>
      </c>
      <c r="D87" s="53" t="s">
        <v>11</v>
      </c>
      <c r="E87" s="149">
        <f>2*0.66+0.57*0.66*2</f>
        <v>2.0724</v>
      </c>
      <c r="F87" s="3"/>
      <c r="G87" s="130">
        <f t="shared" si="2"/>
        <v>0</v>
      </c>
      <c r="H87" s="40" t="s">
        <v>233</v>
      </c>
      <c r="I87" s="40" t="s">
        <v>232</v>
      </c>
      <c r="J87" s="73"/>
      <c r="K87" s="73"/>
      <c r="L87" s="12"/>
    </row>
    <row r="88" spans="1:12">
      <c r="A88" s="49">
        <v>8</v>
      </c>
      <c r="B88" s="32" t="s">
        <v>54</v>
      </c>
      <c r="C88" s="33" t="s">
        <v>69</v>
      </c>
      <c r="D88" s="50" t="s">
        <v>7</v>
      </c>
      <c r="E88" s="145">
        <v>1</v>
      </c>
      <c r="F88" s="135">
        <f>SUM(G89:G92)</f>
        <v>0</v>
      </c>
      <c r="G88" s="131">
        <f t="shared" si="2"/>
        <v>0</v>
      </c>
      <c r="H88" s="51" t="s">
        <v>8</v>
      </c>
      <c r="I88" s="69"/>
      <c r="J88" s="70"/>
      <c r="K88" s="70"/>
    </row>
    <row r="89" spans="1:12" ht="36">
      <c r="A89" s="52" t="s">
        <v>9</v>
      </c>
      <c r="B89" s="53" t="s">
        <v>10</v>
      </c>
      <c r="C89" s="39" t="s">
        <v>70</v>
      </c>
      <c r="D89" s="53" t="s">
        <v>11</v>
      </c>
      <c r="E89" s="146">
        <f>2.7*0.75</f>
        <v>2.0250000000000004</v>
      </c>
      <c r="F89" s="3"/>
      <c r="G89" s="130">
        <f t="shared" si="2"/>
        <v>0</v>
      </c>
      <c r="H89" s="2" t="s">
        <v>12</v>
      </c>
      <c r="I89" s="40" t="s">
        <v>227</v>
      </c>
      <c r="J89" s="71"/>
      <c r="K89" s="71"/>
    </row>
    <row r="90" spans="1:12" ht="72.75">
      <c r="A90" s="55"/>
      <c r="B90" s="53" t="s">
        <v>13</v>
      </c>
      <c r="C90" s="42" t="s">
        <v>247</v>
      </c>
      <c r="D90" s="56" t="s">
        <v>14</v>
      </c>
      <c r="E90" s="146">
        <f>(2.7-0.8)*0.75*(0.85-0.5)</f>
        <v>0.49874999999999997</v>
      </c>
      <c r="F90" s="3"/>
      <c r="G90" s="130">
        <f t="shared" si="2"/>
        <v>0</v>
      </c>
      <c r="H90" s="40" t="s">
        <v>234</v>
      </c>
      <c r="I90" s="40" t="s">
        <v>228</v>
      </c>
      <c r="J90" s="71"/>
      <c r="K90" s="71"/>
    </row>
    <row r="91" spans="1:12" ht="36">
      <c r="A91" s="55"/>
      <c r="B91" s="53" t="s">
        <v>15</v>
      </c>
      <c r="C91" s="42"/>
      <c r="D91" s="53" t="s">
        <v>16</v>
      </c>
      <c r="E91" s="146">
        <f>(0.75+0.85)*2*3+2.7*3</f>
        <v>17.700000000000003</v>
      </c>
      <c r="F91" s="3"/>
      <c r="G91" s="130">
        <f t="shared" si="2"/>
        <v>0</v>
      </c>
      <c r="H91" s="40" t="s">
        <v>229</v>
      </c>
      <c r="I91" s="40" t="s">
        <v>230</v>
      </c>
      <c r="J91" s="71"/>
      <c r="K91" s="71"/>
    </row>
    <row r="92" spans="1:12" s="81" customFormat="1" ht="36.75">
      <c r="A92" s="57"/>
      <c r="B92" s="38" t="s">
        <v>17</v>
      </c>
      <c r="C92" s="39" t="s">
        <v>71</v>
      </c>
      <c r="D92" s="53" t="s">
        <v>11</v>
      </c>
      <c r="E92" s="149">
        <f>(1.72+0.8)*0.66+0.57*0.66*2</f>
        <v>2.4156</v>
      </c>
      <c r="F92" s="3"/>
      <c r="G92" s="130">
        <f t="shared" si="2"/>
        <v>0</v>
      </c>
      <c r="H92" s="40" t="s">
        <v>233</v>
      </c>
      <c r="I92" s="40" t="s">
        <v>232</v>
      </c>
      <c r="J92" s="73"/>
      <c r="K92" s="73"/>
      <c r="L92" s="12"/>
    </row>
    <row r="93" spans="1:12">
      <c r="A93" s="49">
        <v>9</v>
      </c>
      <c r="B93" s="32" t="s">
        <v>54</v>
      </c>
      <c r="C93" s="33" t="s">
        <v>72</v>
      </c>
      <c r="D93" s="50" t="s">
        <v>7</v>
      </c>
      <c r="E93" s="145">
        <v>1</v>
      </c>
      <c r="F93" s="135">
        <f>SUM(G94:G97)</f>
        <v>0</v>
      </c>
      <c r="G93" s="131">
        <f t="shared" si="2"/>
        <v>0</v>
      </c>
      <c r="H93" s="51" t="s">
        <v>8</v>
      </c>
      <c r="I93" s="51"/>
      <c r="J93" s="36"/>
      <c r="K93" s="36"/>
    </row>
    <row r="94" spans="1:12" ht="36">
      <c r="A94" s="52" t="s">
        <v>9</v>
      </c>
      <c r="B94" s="53" t="s">
        <v>10</v>
      </c>
      <c r="C94" s="39" t="s">
        <v>248</v>
      </c>
      <c r="D94" s="53" t="s">
        <v>11</v>
      </c>
      <c r="E94" s="146">
        <f>1.1*0.75</f>
        <v>0.82500000000000007</v>
      </c>
      <c r="F94" s="3"/>
      <c r="G94" s="130">
        <f t="shared" si="2"/>
        <v>0</v>
      </c>
      <c r="H94" s="2" t="s">
        <v>12</v>
      </c>
      <c r="I94" s="40" t="s">
        <v>227</v>
      </c>
      <c r="J94" s="36"/>
      <c r="K94" s="36"/>
    </row>
    <row r="95" spans="1:12" ht="72.75">
      <c r="A95" s="55"/>
      <c r="B95" s="53" t="s">
        <v>13</v>
      </c>
      <c r="C95" s="42" t="s">
        <v>72</v>
      </c>
      <c r="D95" s="56" t="s">
        <v>14</v>
      </c>
      <c r="E95" s="146">
        <f>(1.1-0.51)*0.75*0.85</f>
        <v>0.37612500000000004</v>
      </c>
      <c r="F95" s="3"/>
      <c r="G95" s="130">
        <f t="shared" si="2"/>
        <v>0</v>
      </c>
      <c r="H95" s="40" t="s">
        <v>234</v>
      </c>
      <c r="I95" s="40" t="s">
        <v>228</v>
      </c>
      <c r="J95" s="36"/>
      <c r="K95" s="36"/>
    </row>
    <row r="96" spans="1:12" ht="36">
      <c r="A96" s="55"/>
      <c r="B96" s="53" t="s">
        <v>15</v>
      </c>
      <c r="C96" s="42"/>
      <c r="D96" s="53" t="s">
        <v>16</v>
      </c>
      <c r="E96" s="146">
        <f>(0.75+0.85)*2*2+1.1*3</f>
        <v>9.7000000000000011</v>
      </c>
      <c r="F96" s="3"/>
      <c r="G96" s="130">
        <f t="shared" si="2"/>
        <v>0</v>
      </c>
      <c r="H96" s="40" t="s">
        <v>229</v>
      </c>
      <c r="I96" s="40" t="s">
        <v>230</v>
      </c>
      <c r="J96" s="36"/>
      <c r="K96" s="36"/>
    </row>
    <row r="97" spans="1:16" s="81" customFormat="1" ht="36.75">
      <c r="A97" s="57"/>
      <c r="B97" s="38" t="s">
        <v>17</v>
      </c>
      <c r="C97" s="39" t="s">
        <v>74</v>
      </c>
      <c r="D97" s="53" t="s">
        <v>11</v>
      </c>
      <c r="E97" s="149">
        <f>0.51*0.66+0.57*0.66*2</f>
        <v>1.089</v>
      </c>
      <c r="F97" s="3"/>
      <c r="G97" s="130">
        <f t="shared" si="2"/>
        <v>0</v>
      </c>
      <c r="H97" s="40" t="s">
        <v>233</v>
      </c>
      <c r="I97" s="40" t="s">
        <v>232</v>
      </c>
      <c r="J97" s="73"/>
      <c r="K97" s="73"/>
      <c r="L97" s="12"/>
    </row>
    <row r="98" spans="1:16">
      <c r="A98" s="49">
        <v>10</v>
      </c>
      <c r="B98" s="58" t="s">
        <v>25</v>
      </c>
      <c r="C98" s="59" t="s">
        <v>75</v>
      </c>
      <c r="D98" s="60" t="s">
        <v>7</v>
      </c>
      <c r="E98" s="147">
        <v>1</v>
      </c>
      <c r="F98" s="132">
        <f>SUM(G99:G101)</f>
        <v>0</v>
      </c>
      <c r="G98" s="131">
        <f t="shared" si="2"/>
        <v>0</v>
      </c>
      <c r="H98" s="61" t="s">
        <v>27</v>
      </c>
      <c r="I98" s="61"/>
      <c r="J98" s="36"/>
      <c r="K98" s="36"/>
    </row>
    <row r="99" spans="1:16" ht="24">
      <c r="A99" s="62" t="s">
        <v>9</v>
      </c>
      <c r="B99" s="39" t="s">
        <v>287</v>
      </c>
      <c r="C99" s="42" t="s">
        <v>76</v>
      </c>
      <c r="D99" s="56" t="s">
        <v>14</v>
      </c>
      <c r="E99" s="146">
        <f>1.1*0.9</f>
        <v>0.9900000000000001</v>
      </c>
      <c r="F99" s="65"/>
      <c r="G99" s="130">
        <f t="shared" si="2"/>
        <v>0</v>
      </c>
      <c r="H99" s="64" t="s">
        <v>83</v>
      </c>
      <c r="I99" s="2" t="s">
        <v>284</v>
      </c>
      <c r="J99" s="36"/>
      <c r="K99" s="36"/>
    </row>
    <row r="100" spans="1:16" ht="24">
      <c r="A100" s="62"/>
      <c r="B100" s="39" t="s">
        <v>30</v>
      </c>
      <c r="C100" s="42" t="s">
        <v>77</v>
      </c>
      <c r="D100" s="53" t="s">
        <v>11</v>
      </c>
      <c r="E100" s="146">
        <f>1.1*0.3*2</f>
        <v>0.66</v>
      </c>
      <c r="F100" s="65"/>
      <c r="G100" s="134">
        <f t="shared" si="2"/>
        <v>0</v>
      </c>
      <c r="H100" s="64" t="s">
        <v>83</v>
      </c>
      <c r="I100" s="66" t="s">
        <v>279</v>
      </c>
      <c r="J100" s="36"/>
      <c r="K100" s="36"/>
    </row>
    <row r="101" spans="1:16" ht="42" customHeight="1">
      <c r="A101" s="62"/>
      <c r="B101" s="39" t="s">
        <v>31</v>
      </c>
      <c r="C101" s="42" t="s">
        <v>32</v>
      </c>
      <c r="D101" s="54" t="s">
        <v>20</v>
      </c>
      <c r="E101" s="146">
        <v>1</v>
      </c>
      <c r="F101" s="65"/>
      <c r="G101" s="134">
        <f t="shared" si="2"/>
        <v>0</v>
      </c>
      <c r="H101" s="66" t="s">
        <v>252</v>
      </c>
      <c r="I101" s="66" t="s">
        <v>33</v>
      </c>
      <c r="J101" s="36"/>
      <c r="K101" s="36"/>
    </row>
    <row r="102" spans="1:16" ht="25.5" customHeight="1">
      <c r="A102" s="49">
        <v>11</v>
      </c>
      <c r="B102" s="58" t="s">
        <v>78</v>
      </c>
      <c r="C102" s="32" t="s">
        <v>79</v>
      </c>
      <c r="D102" s="49" t="s">
        <v>7</v>
      </c>
      <c r="E102" s="150">
        <v>1</v>
      </c>
      <c r="F102" s="136">
        <f>SUM(G103:G104)</f>
        <v>0</v>
      </c>
      <c r="G102" s="131">
        <f t="shared" si="2"/>
        <v>0</v>
      </c>
      <c r="H102" s="51" t="s">
        <v>80</v>
      </c>
      <c r="I102" s="51"/>
      <c r="J102" s="36"/>
      <c r="K102" s="36"/>
    </row>
    <row r="103" spans="1:16" ht="49.5" customHeight="1">
      <c r="A103" s="62" t="s">
        <v>81</v>
      </c>
      <c r="B103" s="39" t="s">
        <v>82</v>
      </c>
      <c r="C103" s="39" t="s">
        <v>79</v>
      </c>
      <c r="D103" s="53" t="s">
        <v>14</v>
      </c>
      <c r="E103" s="152">
        <f>1.1*0.4*0.85</f>
        <v>0.37400000000000005</v>
      </c>
      <c r="F103" s="4"/>
      <c r="G103" s="130">
        <f t="shared" si="2"/>
        <v>0</v>
      </c>
      <c r="H103" s="64" t="s">
        <v>83</v>
      </c>
      <c r="I103" s="64" t="s">
        <v>249</v>
      </c>
      <c r="J103" s="36"/>
      <c r="K103" s="36"/>
    </row>
    <row r="104" spans="1:16" ht="49.5" customHeight="1">
      <c r="A104" s="62"/>
      <c r="B104" s="39" t="s">
        <v>84</v>
      </c>
      <c r="C104" s="39" t="s">
        <v>85</v>
      </c>
      <c r="D104" s="56" t="s">
        <v>11</v>
      </c>
      <c r="E104" s="152">
        <f>1.1*0.4</f>
        <v>0.44000000000000006</v>
      </c>
      <c r="F104" s="4"/>
      <c r="G104" s="134">
        <f t="shared" si="2"/>
        <v>0</v>
      </c>
      <c r="H104" s="64" t="s">
        <v>83</v>
      </c>
      <c r="I104" s="64" t="s">
        <v>250</v>
      </c>
      <c r="J104" s="36"/>
      <c r="K104" s="36"/>
    </row>
    <row r="105" spans="1:16" s="89" customFormat="1">
      <c r="A105" s="49">
        <v>12</v>
      </c>
      <c r="B105" s="58" t="s">
        <v>54</v>
      </c>
      <c r="C105" s="49" t="s">
        <v>86</v>
      </c>
      <c r="D105" s="49" t="s">
        <v>7</v>
      </c>
      <c r="E105" s="138">
        <v>1</v>
      </c>
      <c r="F105" s="136">
        <f>SUM(G106:G108)</f>
        <v>0</v>
      </c>
      <c r="G105" s="131">
        <f t="shared" si="2"/>
        <v>0</v>
      </c>
      <c r="H105" s="87" t="s">
        <v>80</v>
      </c>
      <c r="I105" s="88"/>
      <c r="J105" s="70"/>
      <c r="K105" s="70"/>
    </row>
    <row r="106" spans="1:16" ht="37.5" customHeight="1">
      <c r="A106" s="52" t="s">
        <v>81</v>
      </c>
      <c r="B106" s="39" t="s">
        <v>10</v>
      </c>
      <c r="C106" s="90" t="s">
        <v>87</v>
      </c>
      <c r="D106" s="53" t="s">
        <v>11</v>
      </c>
      <c r="E106" s="148">
        <f>0.8*0.4</f>
        <v>0.32000000000000006</v>
      </c>
      <c r="F106" s="3"/>
      <c r="G106" s="134">
        <f t="shared" si="2"/>
        <v>0</v>
      </c>
      <c r="H106" s="2" t="s">
        <v>12</v>
      </c>
      <c r="I106" s="40" t="s">
        <v>227</v>
      </c>
      <c r="J106" s="71"/>
      <c r="K106" s="71"/>
    </row>
    <row r="107" spans="1:16" ht="37.5" customHeight="1">
      <c r="A107" s="55"/>
      <c r="B107" s="39" t="s">
        <v>88</v>
      </c>
      <c r="C107" s="91"/>
      <c r="D107" s="56" t="s">
        <v>221</v>
      </c>
      <c r="E107" s="148">
        <v>1</v>
      </c>
      <c r="F107" s="3"/>
      <c r="G107" s="137">
        <f t="shared" si="2"/>
        <v>0</v>
      </c>
      <c r="H107" s="64" t="s">
        <v>83</v>
      </c>
      <c r="I107" s="7" t="s">
        <v>251</v>
      </c>
      <c r="J107" s="71"/>
      <c r="K107" s="71"/>
    </row>
    <row r="108" spans="1:16" s="81" customFormat="1" ht="37.5" customHeight="1">
      <c r="A108" s="57"/>
      <c r="B108" s="39" t="s">
        <v>17</v>
      </c>
      <c r="C108" s="90" t="s">
        <v>89</v>
      </c>
      <c r="D108" s="53" t="s">
        <v>11</v>
      </c>
      <c r="E108" s="153">
        <f>0.8*0.33+0.4*0.85*2</f>
        <v>0.94400000000000006</v>
      </c>
      <c r="F108" s="3"/>
      <c r="G108" s="130">
        <f t="shared" si="2"/>
        <v>0</v>
      </c>
      <c r="H108" s="40" t="s">
        <v>233</v>
      </c>
      <c r="I108" s="40" t="s">
        <v>232</v>
      </c>
      <c r="J108" s="73"/>
      <c r="K108" s="73"/>
      <c r="L108" s="12"/>
      <c r="P108" s="81" t="s">
        <v>90</v>
      </c>
    </row>
    <row r="109" spans="1:16" ht="24.75" customHeight="1">
      <c r="A109" s="49">
        <v>13</v>
      </c>
      <c r="B109" s="58" t="s">
        <v>25</v>
      </c>
      <c r="C109" s="59" t="s">
        <v>91</v>
      </c>
      <c r="D109" s="60" t="s">
        <v>7</v>
      </c>
      <c r="E109" s="147">
        <v>1</v>
      </c>
      <c r="F109" s="132">
        <f>SUM(G110:G112)</f>
        <v>0</v>
      </c>
      <c r="G109" s="131">
        <f t="shared" si="2"/>
        <v>0</v>
      </c>
      <c r="H109" s="61" t="s">
        <v>292</v>
      </c>
      <c r="I109" s="61"/>
      <c r="J109" s="36"/>
      <c r="K109" s="36"/>
    </row>
    <row r="110" spans="1:16" ht="38.25" customHeight="1">
      <c r="A110" s="62" t="s">
        <v>9</v>
      </c>
      <c r="B110" s="39" t="s">
        <v>287</v>
      </c>
      <c r="C110" s="42" t="s">
        <v>92</v>
      </c>
      <c r="D110" s="56" t="s">
        <v>14</v>
      </c>
      <c r="E110" s="146">
        <f>1.1*1.125</f>
        <v>1.2375</v>
      </c>
      <c r="F110" s="65"/>
      <c r="G110" s="130">
        <f t="shared" si="2"/>
        <v>0</v>
      </c>
      <c r="H110" s="64" t="s">
        <v>83</v>
      </c>
      <c r="I110" s="2" t="s">
        <v>284</v>
      </c>
      <c r="J110" s="36"/>
      <c r="K110" s="36"/>
    </row>
    <row r="111" spans="1:16" ht="38.25" customHeight="1">
      <c r="A111" s="62"/>
      <c r="B111" s="39" t="s">
        <v>30</v>
      </c>
      <c r="C111" s="42" t="s">
        <v>93</v>
      </c>
      <c r="D111" s="53" t="s">
        <v>11</v>
      </c>
      <c r="E111" s="146">
        <f>1.1*0.4*3</f>
        <v>1.3200000000000003</v>
      </c>
      <c r="F111" s="65"/>
      <c r="G111" s="134">
        <f t="shared" si="2"/>
        <v>0</v>
      </c>
      <c r="H111" s="64" t="s">
        <v>83</v>
      </c>
      <c r="I111" s="66" t="s">
        <v>279</v>
      </c>
      <c r="J111" s="36"/>
      <c r="K111" s="36"/>
    </row>
    <row r="112" spans="1:16" ht="38.25" customHeight="1">
      <c r="A112" s="62"/>
      <c r="B112" s="39" t="s">
        <v>31</v>
      </c>
      <c r="C112" s="42" t="s">
        <v>32</v>
      </c>
      <c r="D112" s="54" t="s">
        <v>20</v>
      </c>
      <c r="E112" s="146">
        <v>1</v>
      </c>
      <c r="F112" s="65"/>
      <c r="G112" s="134">
        <f t="shared" si="2"/>
        <v>0</v>
      </c>
      <c r="H112" s="66" t="s">
        <v>252</v>
      </c>
      <c r="I112" s="66" t="s">
        <v>33</v>
      </c>
      <c r="J112" s="36"/>
      <c r="K112" s="36"/>
    </row>
    <row r="113" spans="1:16">
      <c r="A113" s="49">
        <v>14</v>
      </c>
      <c r="B113" s="58" t="s">
        <v>54</v>
      </c>
      <c r="C113" s="33" t="s">
        <v>94</v>
      </c>
      <c r="D113" s="50" t="s">
        <v>7</v>
      </c>
      <c r="E113" s="145">
        <v>1</v>
      </c>
      <c r="F113" s="135">
        <f>SUM(G114:G117)</f>
        <v>0</v>
      </c>
      <c r="G113" s="131">
        <f t="shared" si="2"/>
        <v>0</v>
      </c>
      <c r="H113" s="51" t="s">
        <v>8</v>
      </c>
      <c r="I113" s="51"/>
      <c r="J113" s="36"/>
      <c r="K113" s="36"/>
    </row>
    <row r="114" spans="1:16" ht="36">
      <c r="A114" s="52" t="s">
        <v>9</v>
      </c>
      <c r="B114" s="39" t="s">
        <v>10</v>
      </c>
      <c r="C114" s="39" t="s">
        <v>95</v>
      </c>
      <c r="D114" s="53" t="s">
        <v>11</v>
      </c>
      <c r="E114" s="146">
        <f>1.4*0.5</f>
        <v>0.7</v>
      </c>
      <c r="F114" s="3"/>
      <c r="G114" s="130">
        <f t="shared" si="2"/>
        <v>0</v>
      </c>
      <c r="H114" s="2" t="s">
        <v>12</v>
      </c>
      <c r="I114" s="40" t="s">
        <v>227</v>
      </c>
      <c r="J114" s="36"/>
      <c r="K114" s="36"/>
    </row>
    <row r="115" spans="1:16" ht="72.75">
      <c r="A115" s="55"/>
      <c r="B115" s="39" t="s">
        <v>13</v>
      </c>
      <c r="C115" s="42" t="s">
        <v>253</v>
      </c>
      <c r="D115" s="56" t="s">
        <v>14</v>
      </c>
      <c r="E115" s="146">
        <f>1.4*0.5*(0.85-0.5)</f>
        <v>0.24499999999999997</v>
      </c>
      <c r="F115" s="3"/>
      <c r="G115" s="130">
        <f t="shared" si="2"/>
        <v>0</v>
      </c>
      <c r="H115" s="40" t="s">
        <v>234</v>
      </c>
      <c r="I115" s="40" t="s">
        <v>228</v>
      </c>
      <c r="J115" s="36"/>
      <c r="K115" s="36"/>
    </row>
    <row r="116" spans="1:16" ht="36">
      <c r="A116" s="55"/>
      <c r="B116" s="39" t="s">
        <v>15</v>
      </c>
      <c r="C116" s="42"/>
      <c r="D116" s="53" t="s">
        <v>16</v>
      </c>
      <c r="E116" s="146">
        <f>(0.5+0.85)*2*2+1.4*3</f>
        <v>9.6</v>
      </c>
      <c r="F116" s="3"/>
      <c r="G116" s="130">
        <f t="shared" si="2"/>
        <v>0</v>
      </c>
      <c r="H116" s="40" t="s">
        <v>229</v>
      </c>
      <c r="I116" s="40" t="s">
        <v>230</v>
      </c>
      <c r="J116" s="36"/>
      <c r="K116" s="36"/>
    </row>
    <row r="117" spans="1:16" s="81" customFormat="1" ht="36.75">
      <c r="A117" s="57"/>
      <c r="B117" s="39" t="s">
        <v>17</v>
      </c>
      <c r="C117" s="90" t="s">
        <v>96</v>
      </c>
      <c r="D117" s="53" t="s">
        <v>11</v>
      </c>
      <c r="E117" s="153">
        <f>1.4*0.5+1.4*0.66+0.32*0.66*2</f>
        <v>2.0463999999999998</v>
      </c>
      <c r="F117" s="3"/>
      <c r="G117" s="130">
        <f t="shared" si="2"/>
        <v>0</v>
      </c>
      <c r="H117" s="40" t="s">
        <v>233</v>
      </c>
      <c r="I117" s="40" t="s">
        <v>232</v>
      </c>
      <c r="J117" s="73"/>
      <c r="K117" s="73"/>
      <c r="L117" s="12"/>
      <c r="P117" s="81" t="s">
        <v>90</v>
      </c>
    </row>
    <row r="118" spans="1:16">
      <c r="A118" s="49">
        <v>15</v>
      </c>
      <c r="B118" s="58" t="s">
        <v>25</v>
      </c>
      <c r="C118" s="59" t="s">
        <v>97</v>
      </c>
      <c r="D118" s="60" t="s">
        <v>7</v>
      </c>
      <c r="E118" s="147">
        <v>1</v>
      </c>
      <c r="F118" s="132">
        <f>SUM(G119:G121)</f>
        <v>0</v>
      </c>
      <c r="G118" s="131">
        <f t="shared" si="2"/>
        <v>0</v>
      </c>
      <c r="H118" s="61" t="s">
        <v>27</v>
      </c>
      <c r="I118" s="61"/>
      <c r="J118" s="36"/>
      <c r="K118" s="36"/>
    </row>
    <row r="119" spans="1:16" ht="24">
      <c r="A119" s="62" t="s">
        <v>9</v>
      </c>
      <c r="B119" s="39" t="s">
        <v>287</v>
      </c>
      <c r="C119" s="42" t="s">
        <v>98</v>
      </c>
      <c r="D119" s="56" t="s">
        <v>14</v>
      </c>
      <c r="E119" s="146">
        <f>1.4*1</f>
        <v>1.4</v>
      </c>
      <c r="F119" s="65"/>
      <c r="G119" s="130">
        <f t="shared" ref="G119:G164" si="3">E119*F119</f>
        <v>0</v>
      </c>
      <c r="H119" s="64" t="s">
        <v>83</v>
      </c>
      <c r="I119" s="2" t="s">
        <v>284</v>
      </c>
      <c r="J119" s="36"/>
      <c r="K119" s="36"/>
    </row>
    <row r="120" spans="1:16" ht="24">
      <c r="A120" s="62"/>
      <c r="B120" s="39" t="s">
        <v>30</v>
      </c>
      <c r="C120" s="42" t="s">
        <v>99</v>
      </c>
      <c r="D120" s="53" t="s">
        <v>11</v>
      </c>
      <c r="E120" s="146">
        <f>1.4*0.3*2</f>
        <v>0.84</v>
      </c>
      <c r="F120" s="65"/>
      <c r="G120" s="134">
        <f t="shared" si="3"/>
        <v>0</v>
      </c>
      <c r="H120" s="64" t="s">
        <v>83</v>
      </c>
      <c r="I120" s="66" t="s">
        <v>279</v>
      </c>
      <c r="J120" s="36"/>
      <c r="K120" s="36"/>
    </row>
    <row r="121" spans="1:16" ht="24">
      <c r="A121" s="62"/>
      <c r="B121" s="39" t="s">
        <v>31</v>
      </c>
      <c r="C121" s="42" t="s">
        <v>32</v>
      </c>
      <c r="D121" s="54" t="s">
        <v>20</v>
      </c>
      <c r="E121" s="146">
        <v>1</v>
      </c>
      <c r="F121" s="65"/>
      <c r="G121" s="134">
        <f t="shared" si="3"/>
        <v>0</v>
      </c>
      <c r="H121" s="66" t="s">
        <v>252</v>
      </c>
      <c r="I121" s="66" t="s">
        <v>33</v>
      </c>
      <c r="J121" s="36"/>
      <c r="K121" s="36"/>
    </row>
    <row r="122" spans="1:16">
      <c r="A122" s="49">
        <v>16</v>
      </c>
      <c r="B122" s="58" t="s">
        <v>54</v>
      </c>
      <c r="C122" s="33" t="s">
        <v>55</v>
      </c>
      <c r="D122" s="50" t="s">
        <v>7</v>
      </c>
      <c r="E122" s="145">
        <v>1</v>
      </c>
      <c r="F122" s="135">
        <f>SUM(G123:G126)</f>
        <v>0</v>
      </c>
      <c r="G122" s="131">
        <f t="shared" si="3"/>
        <v>0</v>
      </c>
      <c r="H122" s="51" t="s">
        <v>8</v>
      </c>
      <c r="I122" s="51"/>
      <c r="J122" s="36"/>
      <c r="K122" s="36"/>
    </row>
    <row r="123" spans="1:16" ht="36">
      <c r="A123" s="52" t="s">
        <v>9</v>
      </c>
      <c r="B123" s="39" t="s">
        <v>10</v>
      </c>
      <c r="C123" s="39" t="s">
        <v>100</v>
      </c>
      <c r="D123" s="53" t="s">
        <v>11</v>
      </c>
      <c r="E123" s="146">
        <f>2.1*0.75</f>
        <v>1.5750000000000002</v>
      </c>
      <c r="F123" s="3"/>
      <c r="G123" s="130">
        <f t="shared" si="3"/>
        <v>0</v>
      </c>
      <c r="H123" s="2" t="s">
        <v>12</v>
      </c>
      <c r="I123" s="40" t="s">
        <v>227</v>
      </c>
      <c r="J123" s="36"/>
      <c r="K123" s="36"/>
    </row>
    <row r="124" spans="1:16" ht="72.75">
      <c r="A124" s="55"/>
      <c r="B124" s="39" t="s">
        <v>13</v>
      </c>
      <c r="C124" s="42" t="s">
        <v>55</v>
      </c>
      <c r="D124" s="56" t="s">
        <v>14</v>
      </c>
      <c r="E124" s="146">
        <f>2.1*0.75*0.85</f>
        <v>1.3387500000000001</v>
      </c>
      <c r="F124" s="3"/>
      <c r="G124" s="130">
        <f t="shared" si="3"/>
        <v>0</v>
      </c>
      <c r="H124" s="40" t="s">
        <v>234</v>
      </c>
      <c r="I124" s="40" t="s">
        <v>228</v>
      </c>
      <c r="J124" s="36"/>
      <c r="K124" s="36"/>
    </row>
    <row r="125" spans="1:16" ht="36">
      <c r="A125" s="55"/>
      <c r="B125" s="39" t="s">
        <v>15</v>
      </c>
      <c r="C125" s="42"/>
      <c r="D125" s="53" t="s">
        <v>16</v>
      </c>
      <c r="E125" s="146">
        <f>(0.75+0.85)*2*2+2.1*3</f>
        <v>12.700000000000001</v>
      </c>
      <c r="F125" s="3"/>
      <c r="G125" s="130">
        <f t="shared" si="3"/>
        <v>0</v>
      </c>
      <c r="H125" s="40" t="s">
        <v>229</v>
      </c>
      <c r="I125" s="40" t="s">
        <v>230</v>
      </c>
      <c r="J125" s="36"/>
      <c r="K125" s="36"/>
    </row>
    <row r="126" spans="1:16" s="81" customFormat="1" ht="36.75">
      <c r="A126" s="57"/>
      <c r="B126" s="39" t="s">
        <v>17</v>
      </c>
      <c r="C126" s="90" t="s">
        <v>42</v>
      </c>
      <c r="D126" s="53" t="s">
        <v>11</v>
      </c>
      <c r="E126" s="153">
        <f>0.57*0.66*2</f>
        <v>0.75239999999999996</v>
      </c>
      <c r="F126" s="3"/>
      <c r="G126" s="130">
        <f t="shared" si="3"/>
        <v>0</v>
      </c>
      <c r="H126" s="40" t="s">
        <v>233</v>
      </c>
      <c r="I126" s="40" t="s">
        <v>232</v>
      </c>
      <c r="J126" s="73"/>
      <c r="K126" s="73"/>
      <c r="L126" s="12"/>
      <c r="P126" s="81" t="s">
        <v>90</v>
      </c>
    </row>
    <row r="127" spans="1:16" ht="36">
      <c r="A127" s="32">
        <v>17</v>
      </c>
      <c r="B127" s="58" t="s">
        <v>293</v>
      </c>
      <c r="C127" s="32" t="s">
        <v>294</v>
      </c>
      <c r="D127" s="50" t="s">
        <v>20</v>
      </c>
      <c r="E127" s="145">
        <v>2</v>
      </c>
      <c r="F127" s="48"/>
      <c r="G127" s="131">
        <f t="shared" si="3"/>
        <v>0</v>
      </c>
      <c r="H127" s="35" t="s">
        <v>277</v>
      </c>
      <c r="I127" s="35" t="s">
        <v>236</v>
      </c>
      <c r="J127" s="36"/>
      <c r="K127" s="36"/>
    </row>
    <row r="128" spans="1:16" ht="24">
      <c r="A128" s="32">
        <v>18</v>
      </c>
      <c r="B128" s="47" t="s">
        <v>297</v>
      </c>
      <c r="C128" s="33" t="s">
        <v>296</v>
      </c>
      <c r="D128" s="50" t="s">
        <v>20</v>
      </c>
      <c r="E128" s="145">
        <v>2</v>
      </c>
      <c r="F128" s="48"/>
      <c r="G128" s="131">
        <f t="shared" si="3"/>
        <v>0</v>
      </c>
      <c r="H128" s="35" t="s">
        <v>276</v>
      </c>
      <c r="I128" s="35" t="s">
        <v>236</v>
      </c>
      <c r="J128" s="36"/>
      <c r="K128" s="36"/>
    </row>
    <row r="129" spans="1:11" ht="71.25" customHeight="1">
      <c r="A129" s="32">
        <v>19</v>
      </c>
      <c r="B129" s="58" t="s">
        <v>101</v>
      </c>
      <c r="C129" s="33" t="s">
        <v>102</v>
      </c>
      <c r="D129" s="50" t="s">
        <v>11</v>
      </c>
      <c r="E129" s="150">
        <f>1.7*0.4</f>
        <v>0.68</v>
      </c>
      <c r="F129" s="92"/>
      <c r="G129" s="131">
        <f t="shared" si="3"/>
        <v>0</v>
      </c>
      <c r="H129" s="93" t="s">
        <v>254</v>
      </c>
      <c r="I129" s="93" t="s">
        <v>250</v>
      </c>
      <c r="J129" s="94"/>
      <c r="K129" s="94"/>
    </row>
    <row r="130" spans="1:11" ht="27.75" customHeight="1">
      <c r="A130" s="49">
        <v>20</v>
      </c>
      <c r="B130" s="58" t="s">
        <v>28</v>
      </c>
      <c r="C130" s="95" t="s">
        <v>103</v>
      </c>
      <c r="D130" s="50" t="s">
        <v>104</v>
      </c>
      <c r="E130" s="145">
        <v>1</v>
      </c>
      <c r="F130" s="135">
        <f>SUM(G131:G133)</f>
        <v>0</v>
      </c>
      <c r="G130" s="131">
        <f t="shared" si="3"/>
        <v>0</v>
      </c>
      <c r="H130" s="51" t="s">
        <v>105</v>
      </c>
      <c r="I130" s="51"/>
      <c r="J130" s="36"/>
      <c r="K130" s="36"/>
    </row>
    <row r="131" spans="1:11" ht="30" customHeight="1">
      <c r="A131" s="62" t="s">
        <v>9</v>
      </c>
      <c r="B131" s="39" t="s">
        <v>282</v>
      </c>
      <c r="C131" s="42" t="s">
        <v>106</v>
      </c>
      <c r="D131" s="53" t="s">
        <v>11</v>
      </c>
      <c r="E131" s="148">
        <f>1.7*0.9</f>
        <v>1.53</v>
      </c>
      <c r="F131" s="65"/>
      <c r="G131" s="130">
        <f t="shared" si="3"/>
        <v>0</v>
      </c>
      <c r="H131" s="64" t="s">
        <v>239</v>
      </c>
      <c r="I131" s="64" t="s">
        <v>255</v>
      </c>
      <c r="J131" s="36"/>
      <c r="K131" s="36"/>
    </row>
    <row r="132" spans="1:11" ht="30" customHeight="1">
      <c r="A132" s="62"/>
      <c r="B132" s="39" t="s">
        <v>30</v>
      </c>
      <c r="C132" s="42" t="s">
        <v>107</v>
      </c>
      <c r="D132" s="53" t="s">
        <v>11</v>
      </c>
      <c r="E132" s="148">
        <f>1.7*0.4*2</f>
        <v>1.36</v>
      </c>
      <c r="F132" s="4"/>
      <c r="G132" s="134">
        <f t="shared" si="3"/>
        <v>0</v>
      </c>
      <c r="H132" s="64" t="s">
        <v>254</v>
      </c>
      <c r="I132" s="64" t="s">
        <v>250</v>
      </c>
      <c r="J132" s="36"/>
      <c r="K132" s="36"/>
    </row>
    <row r="133" spans="1:11" ht="33.75" customHeight="1">
      <c r="A133" s="62"/>
      <c r="B133" s="39" t="s">
        <v>31</v>
      </c>
      <c r="C133" s="42" t="s">
        <v>32</v>
      </c>
      <c r="D133" s="72" t="s">
        <v>20</v>
      </c>
      <c r="E133" s="148">
        <v>1</v>
      </c>
      <c r="F133" s="65"/>
      <c r="G133" s="134">
        <f t="shared" si="3"/>
        <v>0</v>
      </c>
      <c r="H133" s="66" t="s">
        <v>252</v>
      </c>
      <c r="I133" s="66" t="s">
        <v>33</v>
      </c>
      <c r="J133" s="36"/>
      <c r="K133" s="36"/>
    </row>
    <row r="134" spans="1:11">
      <c r="A134" s="32">
        <v>21</v>
      </c>
      <c r="B134" s="58" t="s">
        <v>108</v>
      </c>
      <c r="C134" s="32" t="s">
        <v>109</v>
      </c>
      <c r="D134" s="32" t="s">
        <v>104</v>
      </c>
      <c r="E134" s="140">
        <v>2</v>
      </c>
      <c r="F134" s="139">
        <f>SUM(G135:G136)</f>
        <v>0</v>
      </c>
      <c r="G134" s="131">
        <f t="shared" si="3"/>
        <v>0</v>
      </c>
      <c r="H134" s="96"/>
      <c r="I134" s="32"/>
      <c r="J134" s="36"/>
      <c r="K134" s="36"/>
    </row>
    <row r="135" spans="1:11" ht="84">
      <c r="A135" s="62" t="s">
        <v>9</v>
      </c>
      <c r="B135" s="39" t="s">
        <v>110</v>
      </c>
      <c r="C135" s="80"/>
      <c r="D135" s="97" t="s">
        <v>219</v>
      </c>
      <c r="E135" s="154">
        <f>0.9*4+0.5*4+1.8*4</f>
        <v>12.8</v>
      </c>
      <c r="F135" s="65"/>
      <c r="G135" s="130">
        <f t="shared" si="3"/>
        <v>0</v>
      </c>
      <c r="H135" s="2" t="s">
        <v>256</v>
      </c>
      <c r="I135" s="2" t="s">
        <v>257</v>
      </c>
      <c r="J135" s="36"/>
      <c r="K135" s="36"/>
    </row>
    <row r="136" spans="1:11" ht="24">
      <c r="A136" s="62"/>
      <c r="B136" s="39" t="s">
        <v>84</v>
      </c>
      <c r="C136" s="30" t="s">
        <v>112</v>
      </c>
      <c r="D136" s="98" t="s">
        <v>11</v>
      </c>
      <c r="E136" s="155">
        <f>0.9*0.5*4</f>
        <v>1.8</v>
      </c>
      <c r="F136" s="4"/>
      <c r="G136" s="134">
        <f t="shared" si="3"/>
        <v>0</v>
      </c>
      <c r="H136" s="2" t="s">
        <v>113</v>
      </c>
      <c r="I136" s="2" t="s">
        <v>250</v>
      </c>
      <c r="J136" s="36"/>
      <c r="K136" s="36"/>
    </row>
    <row r="137" spans="1:11">
      <c r="A137" s="32">
        <v>22</v>
      </c>
      <c r="B137" s="58" t="s">
        <v>108</v>
      </c>
      <c r="C137" s="32" t="s">
        <v>114</v>
      </c>
      <c r="D137" s="32" t="s">
        <v>104</v>
      </c>
      <c r="E137" s="140">
        <v>1</v>
      </c>
      <c r="F137" s="139">
        <f>SUM(G138:G139)</f>
        <v>0</v>
      </c>
      <c r="G137" s="131">
        <f t="shared" si="3"/>
        <v>0</v>
      </c>
      <c r="H137" s="96"/>
      <c r="I137" s="32"/>
      <c r="J137" s="36"/>
      <c r="K137" s="36"/>
    </row>
    <row r="138" spans="1:11" ht="84">
      <c r="A138" s="62" t="s">
        <v>9</v>
      </c>
      <c r="B138" s="39" t="s">
        <v>110</v>
      </c>
      <c r="C138" s="80"/>
      <c r="D138" s="97" t="s">
        <v>219</v>
      </c>
      <c r="E138" s="154">
        <f>1.4*4+0.5*4+1.8*4</f>
        <v>14.8</v>
      </c>
      <c r="F138" s="65"/>
      <c r="G138" s="130">
        <f t="shared" si="3"/>
        <v>0</v>
      </c>
      <c r="H138" s="2" t="s">
        <v>111</v>
      </c>
      <c r="I138" s="2" t="s">
        <v>257</v>
      </c>
      <c r="J138" s="36"/>
      <c r="K138" s="36"/>
    </row>
    <row r="139" spans="1:11" ht="24">
      <c r="A139" s="62"/>
      <c r="B139" s="39" t="s">
        <v>84</v>
      </c>
      <c r="C139" s="30" t="s">
        <v>115</v>
      </c>
      <c r="D139" s="98" t="s">
        <v>11</v>
      </c>
      <c r="E139" s="155">
        <f>1.4*0.5*4</f>
        <v>2.8</v>
      </c>
      <c r="F139" s="4"/>
      <c r="G139" s="134">
        <f t="shared" si="3"/>
        <v>0</v>
      </c>
      <c r="H139" s="2" t="s">
        <v>113</v>
      </c>
      <c r="I139" s="2" t="s">
        <v>250</v>
      </c>
      <c r="J139" s="36"/>
      <c r="K139" s="36"/>
    </row>
    <row r="140" spans="1:11">
      <c r="A140" s="32">
        <v>23</v>
      </c>
      <c r="B140" s="58" t="s">
        <v>116</v>
      </c>
      <c r="C140" s="32" t="s">
        <v>117</v>
      </c>
      <c r="D140" s="32" t="s">
        <v>7</v>
      </c>
      <c r="E140" s="140">
        <v>3</v>
      </c>
      <c r="F140" s="140">
        <f>SUM(G141:G142)</f>
        <v>0</v>
      </c>
      <c r="G140" s="131">
        <f t="shared" si="3"/>
        <v>0</v>
      </c>
      <c r="H140" s="96" t="s">
        <v>258</v>
      </c>
      <c r="I140" s="32"/>
      <c r="J140" s="36"/>
      <c r="K140" s="36"/>
    </row>
    <row r="141" spans="1:11" ht="84">
      <c r="A141" s="62" t="s">
        <v>9</v>
      </c>
      <c r="B141" s="39" t="s">
        <v>110</v>
      </c>
      <c r="C141" s="30"/>
      <c r="D141" s="97" t="s">
        <v>219</v>
      </c>
      <c r="E141" s="154">
        <f>0.5*4+0.6*4</f>
        <v>4.4000000000000004</v>
      </c>
      <c r="F141" s="65"/>
      <c r="G141" s="130">
        <f t="shared" si="3"/>
        <v>0</v>
      </c>
      <c r="H141" s="2" t="s">
        <v>111</v>
      </c>
      <c r="I141" s="2" t="s">
        <v>257</v>
      </c>
      <c r="J141" s="36"/>
      <c r="K141" s="36"/>
    </row>
    <row r="142" spans="1:11" ht="24">
      <c r="A142" s="62"/>
      <c r="B142" s="39" t="s">
        <v>260</v>
      </c>
      <c r="C142" s="30" t="s">
        <v>118</v>
      </c>
      <c r="D142" s="98" t="s">
        <v>11</v>
      </c>
      <c r="E142" s="155">
        <f>0.5*0.5*2</f>
        <v>0.5</v>
      </c>
      <c r="F142" s="4"/>
      <c r="G142" s="134">
        <f t="shared" si="3"/>
        <v>0</v>
      </c>
      <c r="H142" s="2" t="s">
        <v>259</v>
      </c>
      <c r="I142" s="2" t="s">
        <v>250</v>
      </c>
      <c r="J142" s="36"/>
      <c r="K142" s="36"/>
    </row>
    <row r="143" spans="1:11">
      <c r="A143" s="32">
        <v>24</v>
      </c>
      <c r="B143" s="58" t="s">
        <v>262</v>
      </c>
      <c r="C143" s="32" t="s">
        <v>119</v>
      </c>
      <c r="D143" s="32" t="s">
        <v>7</v>
      </c>
      <c r="E143" s="140">
        <v>1</v>
      </c>
      <c r="F143" s="140">
        <f>SUM(G144:G146)</f>
        <v>0</v>
      </c>
      <c r="G143" s="131">
        <f t="shared" si="3"/>
        <v>0</v>
      </c>
      <c r="H143" s="96" t="s">
        <v>258</v>
      </c>
      <c r="I143" s="32"/>
      <c r="J143" s="36"/>
      <c r="K143" s="36"/>
    </row>
    <row r="144" spans="1:11" ht="72.75">
      <c r="A144" s="62" t="s">
        <v>9</v>
      </c>
      <c r="B144" s="39" t="s">
        <v>13</v>
      </c>
      <c r="C144" s="30" t="s">
        <v>119</v>
      </c>
      <c r="D144" s="98" t="s">
        <v>11</v>
      </c>
      <c r="E144" s="154">
        <f>0.7*0.6*1</f>
        <v>0.42</v>
      </c>
      <c r="F144" s="3"/>
      <c r="G144" s="130">
        <f t="shared" si="3"/>
        <v>0</v>
      </c>
      <c r="H144" s="40" t="s">
        <v>234</v>
      </c>
      <c r="I144" s="40" t="s">
        <v>228</v>
      </c>
      <c r="J144" s="36"/>
      <c r="K144" s="36"/>
    </row>
    <row r="145" spans="1:16" ht="24">
      <c r="A145" s="62"/>
      <c r="B145" s="39" t="s">
        <v>84</v>
      </c>
      <c r="C145" s="30" t="s">
        <v>120</v>
      </c>
      <c r="D145" s="98" t="s">
        <v>11</v>
      </c>
      <c r="E145" s="155">
        <f>0.7*0.6*4</f>
        <v>1.68</v>
      </c>
      <c r="F145" s="4"/>
      <c r="G145" s="134">
        <f t="shared" si="3"/>
        <v>0</v>
      </c>
      <c r="H145" s="2" t="s">
        <v>113</v>
      </c>
      <c r="I145" s="2" t="s">
        <v>250</v>
      </c>
      <c r="J145" s="36"/>
      <c r="K145" s="36"/>
    </row>
    <row r="146" spans="1:16">
      <c r="A146" s="62"/>
      <c r="B146" s="39" t="s">
        <v>121</v>
      </c>
      <c r="C146" s="30" t="s">
        <v>122</v>
      </c>
      <c r="D146" s="98" t="s">
        <v>11</v>
      </c>
      <c r="E146" s="155">
        <f>0.7*1</f>
        <v>0.7</v>
      </c>
      <c r="F146" s="5"/>
      <c r="G146" s="134">
        <f t="shared" si="3"/>
        <v>0</v>
      </c>
      <c r="H146" s="2"/>
      <c r="I146" s="2" t="s">
        <v>261</v>
      </c>
      <c r="J146" s="36"/>
      <c r="K146" s="36"/>
    </row>
    <row r="147" spans="1:16">
      <c r="A147" s="49">
        <v>25</v>
      </c>
      <c r="B147" s="58" t="s">
        <v>54</v>
      </c>
      <c r="C147" s="33" t="s">
        <v>123</v>
      </c>
      <c r="D147" s="50" t="s">
        <v>7</v>
      </c>
      <c r="E147" s="145">
        <v>1</v>
      </c>
      <c r="F147" s="135">
        <f>SUM(G148:G151)</f>
        <v>0</v>
      </c>
      <c r="G147" s="131">
        <f t="shared" si="3"/>
        <v>0</v>
      </c>
      <c r="H147" s="51" t="s">
        <v>8</v>
      </c>
      <c r="I147" s="69"/>
      <c r="J147" s="70"/>
      <c r="K147" s="70"/>
    </row>
    <row r="148" spans="1:16" ht="36">
      <c r="A148" s="52" t="s">
        <v>9</v>
      </c>
      <c r="B148" s="39" t="s">
        <v>10</v>
      </c>
      <c r="C148" s="39" t="s">
        <v>124</v>
      </c>
      <c r="D148" s="53" t="s">
        <v>11</v>
      </c>
      <c r="E148" s="146">
        <f>1*0.75</f>
        <v>0.75</v>
      </c>
      <c r="F148" s="3"/>
      <c r="G148" s="130">
        <f t="shared" si="3"/>
        <v>0</v>
      </c>
      <c r="H148" s="2" t="s">
        <v>12</v>
      </c>
      <c r="I148" s="40" t="s">
        <v>227</v>
      </c>
      <c r="J148" s="71"/>
      <c r="K148" s="71"/>
    </row>
    <row r="149" spans="1:16" ht="72.75">
      <c r="A149" s="55"/>
      <c r="B149" s="39" t="s">
        <v>13</v>
      </c>
      <c r="C149" s="42" t="s">
        <v>123</v>
      </c>
      <c r="D149" s="56" t="s">
        <v>14</v>
      </c>
      <c r="E149" s="146">
        <f>1*0.75*0.85</f>
        <v>0.63749999999999996</v>
      </c>
      <c r="F149" s="3"/>
      <c r="G149" s="130">
        <f t="shared" si="3"/>
        <v>0</v>
      </c>
      <c r="H149" s="40" t="s">
        <v>234</v>
      </c>
      <c r="I149" s="40" t="s">
        <v>228</v>
      </c>
      <c r="J149" s="71"/>
      <c r="K149" s="71"/>
    </row>
    <row r="150" spans="1:16" ht="36">
      <c r="A150" s="55"/>
      <c r="B150" s="39" t="s">
        <v>15</v>
      </c>
      <c r="C150" s="42"/>
      <c r="D150" s="53" t="s">
        <v>16</v>
      </c>
      <c r="E150" s="146">
        <f>(0.75+0.85)*2*2+1*3</f>
        <v>9.4</v>
      </c>
      <c r="F150" s="3"/>
      <c r="G150" s="130">
        <f t="shared" si="3"/>
        <v>0</v>
      </c>
      <c r="H150" s="40" t="s">
        <v>229</v>
      </c>
      <c r="I150" s="40" t="s">
        <v>230</v>
      </c>
      <c r="J150" s="71"/>
      <c r="K150" s="71"/>
    </row>
    <row r="151" spans="1:16" s="81" customFormat="1" ht="36.75">
      <c r="A151" s="57"/>
      <c r="B151" s="39" t="s">
        <v>17</v>
      </c>
      <c r="C151" s="90" t="s">
        <v>42</v>
      </c>
      <c r="D151" s="53" t="s">
        <v>11</v>
      </c>
      <c r="E151" s="153">
        <f>0.57*0.66*2</f>
        <v>0.75239999999999996</v>
      </c>
      <c r="F151" s="3"/>
      <c r="G151" s="130">
        <f t="shared" si="3"/>
        <v>0</v>
      </c>
      <c r="H151" s="40" t="s">
        <v>233</v>
      </c>
      <c r="I151" s="40" t="s">
        <v>232</v>
      </c>
      <c r="J151" s="73"/>
      <c r="K151" s="73"/>
      <c r="L151" s="12"/>
      <c r="P151" s="81" t="s">
        <v>90</v>
      </c>
    </row>
    <row r="152" spans="1:16" ht="30.75" customHeight="1">
      <c r="A152" s="49">
        <v>26</v>
      </c>
      <c r="B152" s="58" t="s">
        <v>28</v>
      </c>
      <c r="C152" s="95" t="s">
        <v>125</v>
      </c>
      <c r="D152" s="50" t="s">
        <v>104</v>
      </c>
      <c r="E152" s="145">
        <v>1</v>
      </c>
      <c r="F152" s="135">
        <f>SUM(G153:G155)</f>
        <v>0</v>
      </c>
      <c r="G152" s="131">
        <f t="shared" si="3"/>
        <v>0</v>
      </c>
      <c r="H152" s="51" t="s">
        <v>105</v>
      </c>
      <c r="I152" s="51"/>
      <c r="J152" s="36"/>
      <c r="K152" s="36"/>
    </row>
    <row r="153" spans="1:16" ht="30.75" customHeight="1">
      <c r="A153" s="62" t="s">
        <v>9</v>
      </c>
      <c r="B153" s="39" t="s">
        <v>28</v>
      </c>
      <c r="C153" s="42" t="s">
        <v>126</v>
      </c>
      <c r="D153" s="53" t="s">
        <v>11</v>
      </c>
      <c r="E153" s="148">
        <f>1.3*0.65</f>
        <v>0.84500000000000008</v>
      </c>
      <c r="F153" s="65"/>
      <c r="G153" s="130">
        <f t="shared" si="3"/>
        <v>0</v>
      </c>
      <c r="H153" s="64" t="s">
        <v>239</v>
      </c>
      <c r="I153" s="64" t="s">
        <v>255</v>
      </c>
      <c r="J153" s="36"/>
      <c r="K153" s="36"/>
    </row>
    <row r="154" spans="1:16" ht="30.75" customHeight="1">
      <c r="A154" s="62"/>
      <c r="B154" s="39" t="s">
        <v>30</v>
      </c>
      <c r="C154" s="42" t="s">
        <v>127</v>
      </c>
      <c r="D154" s="53" t="s">
        <v>11</v>
      </c>
      <c r="E154" s="148">
        <f>1.3*0.4</f>
        <v>0.52</v>
      </c>
      <c r="F154" s="4"/>
      <c r="G154" s="134">
        <f t="shared" si="3"/>
        <v>0</v>
      </c>
      <c r="H154" s="64" t="s">
        <v>254</v>
      </c>
      <c r="I154" s="64" t="s">
        <v>250</v>
      </c>
      <c r="J154" s="36"/>
      <c r="K154" s="36"/>
    </row>
    <row r="155" spans="1:16" ht="46.5" customHeight="1">
      <c r="A155" s="62"/>
      <c r="B155" s="39" t="s">
        <v>31</v>
      </c>
      <c r="C155" s="42" t="s">
        <v>32</v>
      </c>
      <c r="D155" s="72" t="s">
        <v>20</v>
      </c>
      <c r="E155" s="148">
        <v>1</v>
      </c>
      <c r="F155" s="65"/>
      <c r="G155" s="134">
        <f t="shared" si="3"/>
        <v>0</v>
      </c>
      <c r="H155" s="66" t="s">
        <v>252</v>
      </c>
      <c r="I155" s="66" t="s">
        <v>33</v>
      </c>
      <c r="J155" s="36"/>
      <c r="K155" s="36"/>
    </row>
    <row r="156" spans="1:16">
      <c r="A156" s="49">
        <v>27</v>
      </c>
      <c r="B156" s="58" t="s">
        <v>54</v>
      </c>
      <c r="C156" s="33" t="s">
        <v>128</v>
      </c>
      <c r="D156" s="50" t="s">
        <v>7</v>
      </c>
      <c r="E156" s="145">
        <v>1</v>
      </c>
      <c r="F156" s="135">
        <f>SUM(G157:G159)</f>
        <v>0</v>
      </c>
      <c r="G156" s="131">
        <f t="shared" si="3"/>
        <v>0</v>
      </c>
      <c r="H156" s="51" t="s">
        <v>8</v>
      </c>
      <c r="I156" s="51"/>
      <c r="J156" s="36"/>
      <c r="K156" s="36"/>
    </row>
    <row r="157" spans="1:16" ht="36">
      <c r="A157" s="62" t="s">
        <v>9</v>
      </c>
      <c r="B157" s="39" t="s">
        <v>10</v>
      </c>
      <c r="C157" s="39" t="s">
        <v>63</v>
      </c>
      <c r="D157" s="53" t="s">
        <v>11</v>
      </c>
      <c r="E157" s="146">
        <f>1.3*0.75</f>
        <v>0.97500000000000009</v>
      </c>
      <c r="F157" s="3"/>
      <c r="G157" s="130">
        <f t="shared" si="3"/>
        <v>0</v>
      </c>
      <c r="H157" s="2" t="s">
        <v>12</v>
      </c>
      <c r="I157" s="40" t="s">
        <v>227</v>
      </c>
      <c r="J157" s="36"/>
      <c r="K157" s="36"/>
    </row>
    <row r="158" spans="1:16" ht="36">
      <c r="A158" s="62"/>
      <c r="B158" s="39" t="s">
        <v>15</v>
      </c>
      <c r="C158" s="42"/>
      <c r="D158" s="53" t="s">
        <v>16</v>
      </c>
      <c r="E158" s="146">
        <f>(0.75+0.95)*2*2+1.3*2</f>
        <v>9.4</v>
      </c>
      <c r="F158" s="3"/>
      <c r="G158" s="130">
        <f t="shared" si="3"/>
        <v>0</v>
      </c>
      <c r="H158" s="40" t="s">
        <v>229</v>
      </c>
      <c r="I158" s="40" t="s">
        <v>230</v>
      </c>
      <c r="J158" s="36"/>
      <c r="K158" s="36"/>
    </row>
    <row r="159" spans="1:16" s="81" customFormat="1" ht="36.75">
      <c r="A159" s="99"/>
      <c r="B159" s="39" t="s">
        <v>17</v>
      </c>
      <c r="C159" s="90" t="s">
        <v>42</v>
      </c>
      <c r="D159" s="53" t="s">
        <v>11</v>
      </c>
      <c r="E159" s="153">
        <f>0.57*0.66*2</f>
        <v>0.75239999999999996</v>
      </c>
      <c r="F159" s="3"/>
      <c r="G159" s="130">
        <f t="shared" si="3"/>
        <v>0</v>
      </c>
      <c r="H159" s="40" t="s">
        <v>233</v>
      </c>
      <c r="I159" s="40" t="s">
        <v>232</v>
      </c>
      <c r="J159" s="73"/>
      <c r="K159" s="73"/>
      <c r="L159" s="12"/>
      <c r="P159" s="81" t="s">
        <v>90</v>
      </c>
    </row>
    <row r="160" spans="1:16">
      <c r="A160" s="49">
        <v>28</v>
      </c>
      <c r="B160" s="58" t="s">
        <v>25</v>
      </c>
      <c r="C160" s="59" t="s">
        <v>129</v>
      </c>
      <c r="D160" s="60" t="s">
        <v>7</v>
      </c>
      <c r="E160" s="147">
        <v>1</v>
      </c>
      <c r="F160" s="132">
        <f>SUM(G161:G163)</f>
        <v>0</v>
      </c>
      <c r="G160" s="131">
        <f t="shared" si="3"/>
        <v>0</v>
      </c>
      <c r="H160" s="61" t="s">
        <v>27</v>
      </c>
      <c r="I160" s="61"/>
      <c r="J160" s="36"/>
      <c r="K160" s="36"/>
    </row>
    <row r="161" spans="1:16" ht="24">
      <c r="A161" s="62" t="s">
        <v>9</v>
      </c>
      <c r="B161" s="27" t="s">
        <v>287</v>
      </c>
      <c r="C161" s="42" t="s">
        <v>130</v>
      </c>
      <c r="D161" s="56" t="s">
        <v>14</v>
      </c>
      <c r="E161" s="146">
        <f>0.75*1</f>
        <v>0.75</v>
      </c>
      <c r="F161" s="65"/>
      <c r="G161" s="130">
        <f t="shared" si="3"/>
        <v>0</v>
      </c>
      <c r="H161" s="64" t="s">
        <v>83</v>
      </c>
      <c r="I161" s="2" t="s">
        <v>284</v>
      </c>
      <c r="J161" s="36"/>
      <c r="K161" s="36"/>
    </row>
    <row r="162" spans="1:16" ht="24">
      <c r="A162" s="62"/>
      <c r="B162" s="39" t="s">
        <v>30</v>
      </c>
      <c r="C162" s="42" t="s">
        <v>131</v>
      </c>
      <c r="D162" s="53" t="s">
        <v>11</v>
      </c>
      <c r="E162" s="146">
        <f>0.75*0.4*3</f>
        <v>0.90000000000000013</v>
      </c>
      <c r="F162" s="65"/>
      <c r="G162" s="134">
        <f t="shared" si="3"/>
        <v>0</v>
      </c>
      <c r="H162" s="64" t="s">
        <v>83</v>
      </c>
      <c r="I162" s="66" t="s">
        <v>279</v>
      </c>
      <c r="J162" s="36"/>
      <c r="K162" s="36"/>
    </row>
    <row r="163" spans="1:16" ht="24">
      <c r="A163" s="62"/>
      <c r="B163" s="27" t="s">
        <v>31</v>
      </c>
      <c r="C163" s="42" t="s">
        <v>32</v>
      </c>
      <c r="D163" s="54" t="s">
        <v>20</v>
      </c>
      <c r="E163" s="146">
        <v>1</v>
      </c>
      <c r="F163" s="65"/>
      <c r="G163" s="134">
        <f t="shared" si="3"/>
        <v>0</v>
      </c>
      <c r="H163" s="66" t="s">
        <v>252</v>
      </c>
      <c r="I163" s="66" t="s">
        <v>33</v>
      </c>
      <c r="J163" s="36"/>
      <c r="K163" s="36"/>
    </row>
    <row r="164" spans="1:16" ht="24">
      <c r="A164" s="49">
        <v>29</v>
      </c>
      <c r="B164" s="32" t="s">
        <v>50</v>
      </c>
      <c r="C164" s="32"/>
      <c r="D164" s="49" t="s">
        <v>20</v>
      </c>
      <c r="E164" s="150">
        <v>16</v>
      </c>
      <c r="F164" s="77"/>
      <c r="G164" s="131">
        <f t="shared" si="3"/>
        <v>0</v>
      </c>
      <c r="H164" s="51" t="s">
        <v>51</v>
      </c>
      <c r="I164" s="61" t="s">
        <v>33</v>
      </c>
      <c r="J164" s="94"/>
      <c r="K164" s="94"/>
    </row>
    <row r="165" spans="1:16" s="81" customFormat="1" ht="18.75">
      <c r="A165" s="23" t="s">
        <v>132</v>
      </c>
      <c r="B165" s="23"/>
      <c r="C165" s="23"/>
      <c r="D165" s="23"/>
      <c r="E165" s="23"/>
      <c r="F165" s="23"/>
      <c r="G165" s="23"/>
      <c r="H165" s="25"/>
      <c r="I165" s="23"/>
      <c r="J165" s="23"/>
      <c r="K165" s="23"/>
    </row>
    <row r="166" spans="1:16" s="81" customFormat="1">
      <c r="A166" s="49">
        <v>1</v>
      </c>
      <c r="B166" s="32" t="s">
        <v>54</v>
      </c>
      <c r="C166" s="33" t="s">
        <v>133</v>
      </c>
      <c r="D166" s="50" t="s">
        <v>7</v>
      </c>
      <c r="E166" s="145">
        <v>1</v>
      </c>
      <c r="F166" s="135">
        <f>SUM(G167:G169)</f>
        <v>0</v>
      </c>
      <c r="G166" s="131">
        <f>E166*F166</f>
        <v>0</v>
      </c>
      <c r="H166" s="51" t="s">
        <v>134</v>
      </c>
      <c r="I166" s="69"/>
      <c r="J166" s="83"/>
      <c r="K166" s="83"/>
    </row>
    <row r="167" spans="1:16" s="81" customFormat="1" ht="36">
      <c r="A167" s="100" t="s">
        <v>81</v>
      </c>
      <c r="B167" s="53" t="s">
        <v>10</v>
      </c>
      <c r="C167" s="42" t="s">
        <v>135</v>
      </c>
      <c r="D167" s="53" t="s">
        <v>11</v>
      </c>
      <c r="E167" s="146">
        <f>2.6*0.75</f>
        <v>1.9500000000000002</v>
      </c>
      <c r="F167" s="3"/>
      <c r="G167" s="134">
        <f>E167*F167</f>
        <v>0</v>
      </c>
      <c r="H167" s="2" t="s">
        <v>12</v>
      </c>
      <c r="I167" s="40" t="s">
        <v>227</v>
      </c>
      <c r="J167" s="84"/>
      <c r="K167" s="84"/>
    </row>
    <row r="168" spans="1:16" s="81" customFormat="1" ht="72.75">
      <c r="A168" s="101"/>
      <c r="B168" s="53" t="s">
        <v>13</v>
      </c>
      <c r="C168" s="42" t="s">
        <v>263</v>
      </c>
      <c r="D168" s="56" t="s">
        <v>14</v>
      </c>
      <c r="E168" s="146">
        <f>(2.6-0.74)*0.75*0.85</f>
        <v>1.1857500000000001</v>
      </c>
      <c r="F168" s="3"/>
      <c r="G168" s="130">
        <f t="shared" ref="G168" si="4">E168*F168</f>
        <v>0</v>
      </c>
      <c r="H168" s="40" t="s">
        <v>234</v>
      </c>
      <c r="I168" s="40" t="s">
        <v>228</v>
      </c>
      <c r="J168" s="84"/>
      <c r="K168" s="84"/>
    </row>
    <row r="169" spans="1:16" s="81" customFormat="1" ht="36.75">
      <c r="A169" s="102"/>
      <c r="B169" s="38" t="s">
        <v>17</v>
      </c>
      <c r="C169" s="90" t="s">
        <v>136</v>
      </c>
      <c r="D169" s="53" t="s">
        <v>11</v>
      </c>
      <c r="E169" s="153">
        <f>0.74*0.825</f>
        <v>0.61049999999999993</v>
      </c>
      <c r="F169" s="3"/>
      <c r="G169" s="130">
        <f>E169*F169</f>
        <v>0</v>
      </c>
      <c r="H169" s="40" t="s">
        <v>233</v>
      </c>
      <c r="I169" s="40" t="s">
        <v>232</v>
      </c>
      <c r="J169" s="103"/>
      <c r="K169" s="103"/>
      <c r="L169" s="12"/>
      <c r="P169" s="81" t="s">
        <v>90</v>
      </c>
    </row>
    <row r="170" spans="1:16" s="81" customFormat="1">
      <c r="A170" s="49">
        <v>2</v>
      </c>
      <c r="B170" s="32" t="s">
        <v>54</v>
      </c>
      <c r="C170" s="33" t="s">
        <v>137</v>
      </c>
      <c r="D170" s="50" t="s">
        <v>7</v>
      </c>
      <c r="E170" s="145">
        <v>1</v>
      </c>
      <c r="F170" s="135">
        <f>SUM(G171:G173)</f>
        <v>0</v>
      </c>
      <c r="G170" s="131">
        <f>E170*F170</f>
        <v>0</v>
      </c>
      <c r="H170" s="51" t="s">
        <v>134</v>
      </c>
      <c r="I170" s="69"/>
      <c r="J170" s="83"/>
      <c r="K170" s="83"/>
    </row>
    <row r="171" spans="1:16" s="81" customFormat="1" ht="36">
      <c r="A171" s="100" t="s">
        <v>81</v>
      </c>
      <c r="B171" s="53" t="s">
        <v>10</v>
      </c>
      <c r="C171" s="42" t="s">
        <v>138</v>
      </c>
      <c r="D171" s="53" t="s">
        <v>11</v>
      </c>
      <c r="E171" s="146">
        <f>1.8*0.75</f>
        <v>1.35</v>
      </c>
      <c r="F171" s="3"/>
      <c r="G171" s="134">
        <f>E171*F171</f>
        <v>0</v>
      </c>
      <c r="H171" s="2" t="s">
        <v>12</v>
      </c>
      <c r="I171" s="40" t="s">
        <v>227</v>
      </c>
      <c r="J171" s="84"/>
      <c r="K171" s="84"/>
    </row>
    <row r="172" spans="1:16" s="81" customFormat="1" ht="72.75">
      <c r="A172" s="101"/>
      <c r="B172" s="53" t="s">
        <v>13</v>
      </c>
      <c r="C172" s="42" t="s">
        <v>264</v>
      </c>
      <c r="D172" s="56" t="s">
        <v>14</v>
      </c>
      <c r="E172" s="146">
        <f>(1.8-0.7)*0.75*0.85</f>
        <v>0.70125000000000004</v>
      </c>
      <c r="F172" s="3"/>
      <c r="G172" s="130">
        <f t="shared" ref="G172" si="5">E172*F172</f>
        <v>0</v>
      </c>
      <c r="H172" s="40" t="s">
        <v>234</v>
      </c>
      <c r="I172" s="40" t="s">
        <v>228</v>
      </c>
      <c r="J172" s="84"/>
      <c r="K172" s="84"/>
    </row>
    <row r="173" spans="1:16" s="81" customFormat="1" ht="36.75">
      <c r="A173" s="102"/>
      <c r="B173" s="38" t="s">
        <v>17</v>
      </c>
      <c r="C173" s="90" t="s">
        <v>139</v>
      </c>
      <c r="D173" s="53" t="s">
        <v>11</v>
      </c>
      <c r="E173" s="153">
        <f>0.7*0.825</f>
        <v>0.5774999999999999</v>
      </c>
      <c r="F173" s="3"/>
      <c r="G173" s="130">
        <f>E173*F173</f>
        <v>0</v>
      </c>
      <c r="H173" s="40" t="s">
        <v>233</v>
      </c>
      <c r="I173" s="40" t="s">
        <v>232</v>
      </c>
      <c r="J173" s="103"/>
      <c r="K173" s="103"/>
      <c r="L173" s="12"/>
      <c r="P173" s="81" t="s">
        <v>90</v>
      </c>
    </row>
    <row r="174" spans="1:16" s="81" customFormat="1">
      <c r="A174" s="49">
        <v>3</v>
      </c>
      <c r="B174" s="32" t="s">
        <v>5</v>
      </c>
      <c r="C174" s="33" t="s">
        <v>140</v>
      </c>
      <c r="D174" s="50" t="s">
        <v>7</v>
      </c>
      <c r="E174" s="145">
        <v>1</v>
      </c>
      <c r="F174" s="135">
        <f>SUM(G175:G177)</f>
        <v>0</v>
      </c>
      <c r="G174" s="131">
        <f>E174*F174</f>
        <v>0</v>
      </c>
      <c r="H174" s="51" t="s">
        <v>134</v>
      </c>
      <c r="I174" s="69"/>
      <c r="J174" s="83"/>
      <c r="K174" s="83"/>
    </row>
    <row r="175" spans="1:16" s="81" customFormat="1" ht="36">
      <c r="A175" s="100" t="s">
        <v>81</v>
      </c>
      <c r="B175" s="53" t="s">
        <v>10</v>
      </c>
      <c r="C175" s="42" t="s">
        <v>141</v>
      </c>
      <c r="D175" s="53" t="s">
        <v>11</v>
      </c>
      <c r="E175" s="146">
        <f>1.9*0.75</f>
        <v>1.4249999999999998</v>
      </c>
      <c r="F175" s="3"/>
      <c r="G175" s="134">
        <f>E175*F175</f>
        <v>0</v>
      </c>
      <c r="H175" s="2" t="s">
        <v>12</v>
      </c>
      <c r="I175" s="40" t="s">
        <v>227</v>
      </c>
      <c r="J175" s="84"/>
      <c r="K175" s="84"/>
    </row>
    <row r="176" spans="1:16" s="81" customFormat="1" ht="90.75" customHeight="1">
      <c r="A176" s="101"/>
      <c r="B176" s="53" t="s">
        <v>13</v>
      </c>
      <c r="C176" s="42" t="s">
        <v>265</v>
      </c>
      <c r="D176" s="56" t="s">
        <v>14</v>
      </c>
      <c r="E176" s="146">
        <f>(1.6-0.7)*0.75*0.85</f>
        <v>0.57374999999999998</v>
      </c>
      <c r="F176" s="3"/>
      <c r="G176" s="130">
        <f t="shared" ref="G176" si="6">E176*F176</f>
        <v>0</v>
      </c>
      <c r="H176" s="40" t="s">
        <v>234</v>
      </c>
      <c r="I176" s="40" t="s">
        <v>228</v>
      </c>
      <c r="J176" s="84"/>
      <c r="K176" s="84"/>
    </row>
    <row r="177" spans="1:16" s="81" customFormat="1" ht="36.75">
      <c r="A177" s="102"/>
      <c r="B177" s="38" t="s">
        <v>17</v>
      </c>
      <c r="C177" s="90" t="s">
        <v>139</v>
      </c>
      <c r="D177" s="53" t="s">
        <v>11</v>
      </c>
      <c r="E177" s="153">
        <f>0.7*0.825</f>
        <v>0.5774999999999999</v>
      </c>
      <c r="F177" s="3"/>
      <c r="G177" s="130">
        <f>E177*F177</f>
        <v>0</v>
      </c>
      <c r="H177" s="40" t="s">
        <v>233</v>
      </c>
      <c r="I177" s="40" t="s">
        <v>232</v>
      </c>
      <c r="J177" s="103"/>
      <c r="K177" s="103"/>
      <c r="L177" s="12"/>
      <c r="P177" s="81" t="s">
        <v>90</v>
      </c>
    </row>
    <row r="178" spans="1:16" s="81" customFormat="1">
      <c r="A178" s="156" t="s">
        <v>142</v>
      </c>
      <c r="B178" s="156"/>
      <c r="C178" s="156"/>
      <c r="D178" s="156"/>
      <c r="E178" s="156"/>
      <c r="F178" s="156"/>
      <c r="G178" s="156"/>
      <c r="H178" s="156"/>
      <c r="I178" s="29"/>
      <c r="J178" s="80"/>
      <c r="K178" s="80"/>
    </row>
    <row r="179" spans="1:16" s="81" customFormat="1">
      <c r="A179" s="49">
        <v>1</v>
      </c>
      <c r="B179" s="32" t="s">
        <v>5</v>
      </c>
      <c r="C179" s="33" t="s">
        <v>65</v>
      </c>
      <c r="D179" s="50" t="s">
        <v>7</v>
      </c>
      <c r="E179" s="145">
        <v>1</v>
      </c>
      <c r="F179" s="135">
        <f>SUM(G180:G182)</f>
        <v>0</v>
      </c>
      <c r="G179" s="131">
        <f>E179*F179</f>
        <v>0</v>
      </c>
      <c r="H179" s="51" t="s">
        <v>134</v>
      </c>
      <c r="I179" s="69"/>
      <c r="J179" s="83"/>
      <c r="K179" s="83"/>
    </row>
    <row r="180" spans="1:16" s="81" customFormat="1" ht="36">
      <c r="A180" s="100" t="s">
        <v>81</v>
      </c>
      <c r="B180" s="53" t="s">
        <v>10</v>
      </c>
      <c r="C180" s="42" t="s">
        <v>66</v>
      </c>
      <c r="D180" s="53" t="s">
        <v>11</v>
      </c>
      <c r="E180" s="146">
        <f>2*0.75</f>
        <v>1.5</v>
      </c>
      <c r="F180" s="3"/>
      <c r="G180" s="134">
        <f>E180*F180</f>
        <v>0</v>
      </c>
      <c r="H180" s="2" t="s">
        <v>12</v>
      </c>
      <c r="I180" s="40" t="s">
        <v>227</v>
      </c>
      <c r="J180" s="84"/>
      <c r="K180" s="84"/>
    </row>
    <row r="181" spans="1:16" s="81" customFormat="1" ht="72.75">
      <c r="A181" s="101"/>
      <c r="B181" s="53" t="s">
        <v>13</v>
      </c>
      <c r="C181" s="42" t="s">
        <v>266</v>
      </c>
      <c r="D181" s="56" t="s">
        <v>14</v>
      </c>
      <c r="E181" s="146">
        <f>(2-0.65)*0.75*0.85</f>
        <v>0.86062500000000008</v>
      </c>
      <c r="F181" s="3"/>
      <c r="G181" s="130">
        <f t="shared" ref="G181" si="7">E181*F181</f>
        <v>0</v>
      </c>
      <c r="H181" s="40" t="s">
        <v>234</v>
      </c>
      <c r="I181" s="40" t="s">
        <v>228</v>
      </c>
      <c r="J181" s="84"/>
      <c r="K181" s="84"/>
    </row>
    <row r="182" spans="1:16" s="81" customFormat="1" ht="36.75">
      <c r="A182" s="102"/>
      <c r="B182" s="38" t="s">
        <v>17</v>
      </c>
      <c r="C182" s="90" t="s">
        <v>143</v>
      </c>
      <c r="D182" s="53" t="s">
        <v>11</v>
      </c>
      <c r="E182" s="153">
        <f>0.65*0.825</f>
        <v>0.53625</v>
      </c>
      <c r="F182" s="3"/>
      <c r="G182" s="130">
        <f>E182*F182</f>
        <v>0</v>
      </c>
      <c r="H182" s="40" t="s">
        <v>233</v>
      </c>
      <c r="I182" s="40" t="s">
        <v>232</v>
      </c>
      <c r="J182" s="105"/>
      <c r="K182" s="105"/>
      <c r="L182" s="12"/>
      <c r="P182" s="81" t="s">
        <v>90</v>
      </c>
    </row>
    <row r="183" spans="1:16" s="81" customFormat="1">
      <c r="A183" s="104" t="s">
        <v>144</v>
      </c>
      <c r="B183" s="104"/>
      <c r="C183" s="104"/>
      <c r="D183" s="104"/>
      <c r="E183" s="104"/>
      <c r="F183" s="104"/>
      <c r="G183" s="104"/>
      <c r="H183" s="104"/>
      <c r="I183" s="29"/>
      <c r="J183" s="80"/>
      <c r="K183" s="80"/>
    </row>
    <row r="184" spans="1:16" s="81" customFormat="1">
      <c r="A184" s="49">
        <v>1</v>
      </c>
      <c r="B184" s="32" t="s">
        <v>5</v>
      </c>
      <c r="C184" s="32" t="s">
        <v>65</v>
      </c>
      <c r="D184" s="50" t="s">
        <v>7</v>
      </c>
      <c r="E184" s="145">
        <v>1</v>
      </c>
      <c r="F184" s="135">
        <f>SUM(G185:G187)</f>
        <v>0</v>
      </c>
      <c r="G184" s="131">
        <f>E184*F184</f>
        <v>0</v>
      </c>
      <c r="H184" s="51" t="s">
        <v>134</v>
      </c>
      <c r="I184" s="51"/>
      <c r="J184" s="82"/>
      <c r="K184" s="82"/>
    </row>
    <row r="185" spans="1:16" s="81" customFormat="1" ht="36">
      <c r="A185" s="100" t="s">
        <v>81</v>
      </c>
      <c r="B185" s="53" t="s">
        <v>10</v>
      </c>
      <c r="C185" s="39" t="s">
        <v>66</v>
      </c>
      <c r="D185" s="53" t="s">
        <v>11</v>
      </c>
      <c r="E185" s="146">
        <f>2*0.75</f>
        <v>1.5</v>
      </c>
      <c r="F185" s="3"/>
      <c r="G185" s="134">
        <f>E185*F185</f>
        <v>0</v>
      </c>
      <c r="H185" s="2" t="s">
        <v>12</v>
      </c>
      <c r="I185" s="40" t="s">
        <v>227</v>
      </c>
      <c r="J185" s="82"/>
      <c r="K185" s="82"/>
    </row>
    <row r="186" spans="1:16" s="81" customFormat="1" ht="72.75">
      <c r="A186" s="101"/>
      <c r="B186" s="53" t="s">
        <v>13</v>
      </c>
      <c r="C186" s="39" t="s">
        <v>267</v>
      </c>
      <c r="D186" s="56" t="s">
        <v>14</v>
      </c>
      <c r="E186" s="146">
        <f>(2-0.59)*0.75*0.85</f>
        <v>0.89887500000000009</v>
      </c>
      <c r="F186" s="3"/>
      <c r="G186" s="130">
        <f t="shared" ref="G186" si="8">E186*F186</f>
        <v>0</v>
      </c>
      <c r="H186" s="40" t="s">
        <v>234</v>
      </c>
      <c r="I186" s="40" t="s">
        <v>228</v>
      </c>
      <c r="J186" s="82"/>
      <c r="K186" s="82"/>
    </row>
    <row r="187" spans="1:16" s="81" customFormat="1" ht="36.75">
      <c r="A187" s="106"/>
      <c r="B187" s="38" t="s">
        <v>17</v>
      </c>
      <c r="C187" s="90" t="s">
        <v>145</v>
      </c>
      <c r="D187" s="53" t="s">
        <v>11</v>
      </c>
      <c r="E187" s="153">
        <f>0.59*0.825</f>
        <v>0.48674999999999996</v>
      </c>
      <c r="F187" s="3"/>
      <c r="G187" s="130">
        <f>E187*F187</f>
        <v>0</v>
      </c>
      <c r="H187" s="40" t="s">
        <v>233</v>
      </c>
      <c r="I187" s="40" t="s">
        <v>232</v>
      </c>
      <c r="J187" s="103"/>
      <c r="K187" s="103"/>
      <c r="L187" s="12"/>
      <c r="P187" s="81" t="s">
        <v>90</v>
      </c>
    </row>
    <row r="188" spans="1:16" s="81" customFormat="1">
      <c r="A188" s="49">
        <v>2</v>
      </c>
      <c r="B188" s="32" t="s">
        <v>5</v>
      </c>
      <c r="C188" s="32" t="s">
        <v>146</v>
      </c>
      <c r="D188" s="50" t="s">
        <v>7</v>
      </c>
      <c r="E188" s="145">
        <v>1</v>
      </c>
      <c r="F188" s="135">
        <f>SUM(G189:G190)</f>
        <v>0</v>
      </c>
      <c r="G188" s="131">
        <f>E188*F188</f>
        <v>0</v>
      </c>
      <c r="H188" s="51" t="s">
        <v>134</v>
      </c>
      <c r="I188" s="51"/>
      <c r="J188" s="82"/>
      <c r="K188" s="82"/>
    </row>
    <row r="189" spans="1:16" s="81" customFormat="1" ht="36">
      <c r="A189" s="107" t="s">
        <v>81</v>
      </c>
      <c r="B189" s="53" t="s">
        <v>10</v>
      </c>
      <c r="C189" s="39" t="s">
        <v>147</v>
      </c>
      <c r="D189" s="53" t="s">
        <v>11</v>
      </c>
      <c r="E189" s="146">
        <f>1.2*0.75</f>
        <v>0.89999999999999991</v>
      </c>
      <c r="F189" s="3"/>
      <c r="G189" s="134">
        <f>E189*F189</f>
        <v>0</v>
      </c>
      <c r="H189" s="2" t="s">
        <v>12</v>
      </c>
      <c r="I189" s="40" t="s">
        <v>227</v>
      </c>
      <c r="J189" s="82"/>
      <c r="K189" s="82"/>
    </row>
    <row r="190" spans="1:16" s="81" customFormat="1" ht="72.75">
      <c r="A190" s="107"/>
      <c r="B190" s="53" t="s">
        <v>13</v>
      </c>
      <c r="C190" s="39" t="s">
        <v>146</v>
      </c>
      <c r="D190" s="56" t="s">
        <v>14</v>
      </c>
      <c r="E190" s="146">
        <f>1.2*0.75*0.85</f>
        <v>0.7649999999999999</v>
      </c>
      <c r="F190" s="3"/>
      <c r="G190" s="130">
        <f>E190*F190</f>
        <v>0</v>
      </c>
      <c r="H190" s="40" t="s">
        <v>234</v>
      </c>
      <c r="I190" s="40" t="s">
        <v>228</v>
      </c>
      <c r="J190" s="82"/>
      <c r="K190" s="82"/>
    </row>
    <row r="191" spans="1:16" s="81" customFormat="1">
      <c r="A191" s="78" t="s">
        <v>148</v>
      </c>
      <c r="B191" s="78"/>
      <c r="C191" s="78"/>
      <c r="D191" s="78"/>
      <c r="E191" s="78"/>
      <c r="F191" s="78"/>
      <c r="G191" s="78"/>
      <c r="H191" s="78"/>
      <c r="I191" s="79"/>
      <c r="J191" s="80"/>
      <c r="K191" s="80"/>
    </row>
    <row r="192" spans="1:16" s="81" customFormat="1" ht="44.25" customHeight="1">
      <c r="A192" s="49">
        <v>1</v>
      </c>
      <c r="B192" s="32" t="s">
        <v>54</v>
      </c>
      <c r="C192" s="33" t="s">
        <v>62</v>
      </c>
      <c r="D192" s="50" t="s">
        <v>7</v>
      </c>
      <c r="E192" s="145">
        <v>1</v>
      </c>
      <c r="F192" s="135">
        <f>SUM(G193:G196)</f>
        <v>0</v>
      </c>
      <c r="G192" s="131">
        <f t="shared" ref="G192:G219" si="9">E192*F192</f>
        <v>0</v>
      </c>
      <c r="H192" s="51" t="s">
        <v>134</v>
      </c>
      <c r="I192" s="51"/>
      <c r="J192" s="82"/>
      <c r="K192" s="82"/>
    </row>
    <row r="193" spans="1:16" s="81" customFormat="1" ht="36">
      <c r="A193" s="100" t="s">
        <v>81</v>
      </c>
      <c r="B193" s="53" t="s">
        <v>10</v>
      </c>
      <c r="C193" s="42" t="s">
        <v>63</v>
      </c>
      <c r="D193" s="53" t="s">
        <v>11</v>
      </c>
      <c r="E193" s="146">
        <f>1.3*0.75</f>
        <v>0.97500000000000009</v>
      </c>
      <c r="F193" s="3"/>
      <c r="G193" s="134">
        <f t="shared" si="9"/>
        <v>0</v>
      </c>
      <c r="H193" s="2" t="s">
        <v>12</v>
      </c>
      <c r="I193" s="40" t="s">
        <v>227</v>
      </c>
      <c r="J193" s="82"/>
      <c r="K193" s="82"/>
    </row>
    <row r="194" spans="1:16" s="81" customFormat="1" ht="72.75">
      <c r="A194" s="101"/>
      <c r="B194" s="53" t="s">
        <v>13</v>
      </c>
      <c r="C194" s="42" t="s">
        <v>62</v>
      </c>
      <c r="D194" s="56" t="s">
        <v>14</v>
      </c>
      <c r="E194" s="157">
        <f>1.3*0.75*0.85</f>
        <v>0.8287500000000001</v>
      </c>
      <c r="F194" s="3"/>
      <c r="G194" s="130">
        <f t="shared" si="9"/>
        <v>0</v>
      </c>
      <c r="H194" s="40" t="s">
        <v>234</v>
      </c>
      <c r="I194" s="40" t="s">
        <v>228</v>
      </c>
      <c r="J194" s="82"/>
      <c r="K194" s="82"/>
    </row>
    <row r="195" spans="1:16" s="81" customFormat="1" ht="36">
      <c r="A195" s="102"/>
      <c r="B195" s="53" t="s">
        <v>15</v>
      </c>
      <c r="C195" s="42"/>
      <c r="D195" s="53" t="s">
        <v>16</v>
      </c>
      <c r="E195" s="146">
        <f>(0.75+0.85)*2*2+1.3*3</f>
        <v>10.3</v>
      </c>
      <c r="F195" s="3"/>
      <c r="G195" s="130">
        <f t="shared" si="9"/>
        <v>0</v>
      </c>
      <c r="H195" s="40" t="s">
        <v>229</v>
      </c>
      <c r="I195" s="40" t="s">
        <v>230</v>
      </c>
      <c r="J195" s="82"/>
      <c r="K195" s="82"/>
    </row>
    <row r="196" spans="1:16" s="81" customFormat="1" ht="36.75">
      <c r="A196" s="106"/>
      <c r="B196" s="38" t="s">
        <v>17</v>
      </c>
      <c r="C196" s="90" t="s">
        <v>42</v>
      </c>
      <c r="D196" s="53" t="s">
        <v>11</v>
      </c>
      <c r="E196" s="153">
        <f>0.57*0.66*2</f>
        <v>0.75239999999999996</v>
      </c>
      <c r="F196" s="3"/>
      <c r="G196" s="130">
        <f t="shared" si="9"/>
        <v>0</v>
      </c>
      <c r="H196" s="40" t="s">
        <v>233</v>
      </c>
      <c r="I196" s="40" t="s">
        <v>232</v>
      </c>
      <c r="J196" s="103"/>
      <c r="K196" s="103"/>
      <c r="L196" s="12"/>
      <c r="P196" s="81" t="s">
        <v>90</v>
      </c>
    </row>
    <row r="197" spans="1:16" s="81" customFormat="1" ht="36">
      <c r="A197" s="49">
        <v>2</v>
      </c>
      <c r="B197" s="32" t="s">
        <v>293</v>
      </c>
      <c r="C197" s="32" t="s">
        <v>294</v>
      </c>
      <c r="D197" s="50" t="s">
        <v>20</v>
      </c>
      <c r="E197" s="145">
        <v>1</v>
      </c>
      <c r="F197" s="48"/>
      <c r="G197" s="131">
        <f t="shared" si="9"/>
        <v>0</v>
      </c>
      <c r="H197" s="35" t="s">
        <v>277</v>
      </c>
      <c r="I197" s="35" t="s">
        <v>236</v>
      </c>
      <c r="J197" s="82"/>
      <c r="K197" s="82"/>
    </row>
    <row r="198" spans="1:16" s="81" customFormat="1" ht="24">
      <c r="A198" s="49">
        <v>3</v>
      </c>
      <c r="B198" s="47" t="s">
        <v>297</v>
      </c>
      <c r="C198" s="33" t="s">
        <v>296</v>
      </c>
      <c r="D198" s="50" t="s">
        <v>20</v>
      </c>
      <c r="E198" s="145">
        <v>1</v>
      </c>
      <c r="F198" s="48"/>
      <c r="G198" s="131">
        <f t="shared" si="9"/>
        <v>0</v>
      </c>
      <c r="H198" s="35" t="s">
        <v>276</v>
      </c>
      <c r="I198" s="35" t="s">
        <v>236</v>
      </c>
      <c r="J198" s="82"/>
      <c r="K198" s="82"/>
    </row>
    <row r="199" spans="1:16" s="81" customFormat="1" ht="36.75" customHeight="1">
      <c r="A199" s="49">
        <v>4</v>
      </c>
      <c r="B199" s="32" t="s">
        <v>149</v>
      </c>
      <c r="C199" s="58" t="s">
        <v>150</v>
      </c>
      <c r="D199" s="50" t="s">
        <v>104</v>
      </c>
      <c r="E199" s="138">
        <v>1</v>
      </c>
      <c r="F199" s="135">
        <f>SUM(G200:G201)</f>
        <v>0</v>
      </c>
      <c r="G199" s="131">
        <f t="shared" si="9"/>
        <v>0</v>
      </c>
      <c r="H199" s="51" t="s">
        <v>80</v>
      </c>
      <c r="I199" s="51"/>
      <c r="J199" s="82"/>
      <c r="K199" s="82"/>
    </row>
    <row r="200" spans="1:16" s="81" customFormat="1" ht="36.75" customHeight="1">
      <c r="A200" s="107" t="s">
        <v>81</v>
      </c>
      <c r="B200" s="53" t="s">
        <v>151</v>
      </c>
      <c r="C200" s="39" t="s">
        <v>150</v>
      </c>
      <c r="D200" s="53" t="s">
        <v>14</v>
      </c>
      <c r="E200" s="158">
        <f>1.5*0.3*0.6</f>
        <v>0.26999999999999996</v>
      </c>
      <c r="F200" s="4"/>
      <c r="G200" s="134">
        <f t="shared" si="9"/>
        <v>0</v>
      </c>
      <c r="H200" s="64" t="s">
        <v>83</v>
      </c>
      <c r="I200" s="64" t="s">
        <v>249</v>
      </c>
      <c r="J200" s="82"/>
      <c r="K200" s="82"/>
    </row>
    <row r="201" spans="1:16" s="81" customFormat="1" ht="36.75" customHeight="1">
      <c r="A201" s="107"/>
      <c r="B201" s="53" t="s">
        <v>84</v>
      </c>
      <c r="C201" s="39" t="s">
        <v>152</v>
      </c>
      <c r="D201" s="56" t="s">
        <v>11</v>
      </c>
      <c r="E201" s="158">
        <f>1.5*0.3*1</f>
        <v>0.44999999999999996</v>
      </c>
      <c r="F201" s="4"/>
      <c r="G201" s="134">
        <f t="shared" si="9"/>
        <v>0</v>
      </c>
      <c r="H201" s="64" t="s">
        <v>83</v>
      </c>
      <c r="I201" s="64" t="s">
        <v>250</v>
      </c>
      <c r="J201" s="82"/>
      <c r="K201" s="82"/>
    </row>
    <row r="202" spans="1:16" s="81" customFormat="1" ht="36.75" customHeight="1">
      <c r="A202" s="49">
        <v>5</v>
      </c>
      <c r="B202" s="32" t="s">
        <v>149</v>
      </c>
      <c r="C202" s="58" t="s">
        <v>153</v>
      </c>
      <c r="D202" s="50" t="s">
        <v>104</v>
      </c>
      <c r="E202" s="138">
        <v>1</v>
      </c>
      <c r="F202" s="135">
        <f>SUM(G203:G204)</f>
        <v>0</v>
      </c>
      <c r="G202" s="131">
        <f t="shared" si="9"/>
        <v>0</v>
      </c>
      <c r="H202" s="51" t="s">
        <v>80</v>
      </c>
      <c r="I202" s="51"/>
      <c r="J202" s="83"/>
      <c r="K202" s="83"/>
    </row>
    <row r="203" spans="1:16" s="81" customFormat="1" ht="36.75" customHeight="1">
      <c r="A203" s="100" t="s">
        <v>81</v>
      </c>
      <c r="B203" s="53" t="s">
        <v>151</v>
      </c>
      <c r="C203" s="39" t="s">
        <v>153</v>
      </c>
      <c r="D203" s="53" t="s">
        <v>14</v>
      </c>
      <c r="E203" s="158">
        <f>1.6*0.3*0.6</f>
        <v>0.28799999999999998</v>
      </c>
      <c r="F203" s="4"/>
      <c r="G203" s="134">
        <f t="shared" si="9"/>
        <v>0</v>
      </c>
      <c r="H203" s="64" t="s">
        <v>83</v>
      </c>
      <c r="I203" s="64" t="s">
        <v>249</v>
      </c>
      <c r="J203" s="84"/>
      <c r="K203" s="84"/>
    </row>
    <row r="204" spans="1:16" s="81" customFormat="1" ht="36.75" customHeight="1">
      <c r="A204" s="102"/>
      <c r="B204" s="53" t="s">
        <v>84</v>
      </c>
      <c r="C204" s="39" t="s">
        <v>154</v>
      </c>
      <c r="D204" s="56" t="s">
        <v>11</v>
      </c>
      <c r="E204" s="158">
        <f>1.6*0.3*1</f>
        <v>0.48</v>
      </c>
      <c r="F204" s="4"/>
      <c r="G204" s="134">
        <f t="shared" si="9"/>
        <v>0</v>
      </c>
      <c r="H204" s="64" t="s">
        <v>83</v>
      </c>
      <c r="I204" s="64" t="s">
        <v>250</v>
      </c>
      <c r="J204" s="84"/>
      <c r="K204" s="84"/>
    </row>
    <row r="205" spans="1:16" s="81" customFormat="1" ht="36.75" customHeight="1">
      <c r="A205" s="49">
        <v>6</v>
      </c>
      <c r="B205" s="58" t="s">
        <v>28</v>
      </c>
      <c r="C205" s="95" t="s">
        <v>155</v>
      </c>
      <c r="D205" s="50" t="s">
        <v>104</v>
      </c>
      <c r="E205" s="145">
        <v>1</v>
      </c>
      <c r="F205" s="68">
        <f>SUM(G206:G208)</f>
        <v>0</v>
      </c>
      <c r="G205" s="131">
        <f t="shared" si="9"/>
        <v>0</v>
      </c>
      <c r="H205" s="51" t="s">
        <v>27</v>
      </c>
      <c r="I205" s="51"/>
      <c r="J205" s="84"/>
      <c r="K205" s="84"/>
    </row>
    <row r="206" spans="1:16" s="81" customFormat="1" ht="36.75" customHeight="1">
      <c r="A206" s="52" t="s">
        <v>9</v>
      </c>
      <c r="B206" s="27" t="s">
        <v>287</v>
      </c>
      <c r="C206" s="42" t="s">
        <v>156</v>
      </c>
      <c r="D206" s="53" t="s">
        <v>11</v>
      </c>
      <c r="E206" s="148">
        <f>1.6*1</f>
        <v>1.6</v>
      </c>
      <c r="F206" s="65"/>
      <c r="G206" s="130">
        <f t="shared" si="9"/>
        <v>0</v>
      </c>
      <c r="H206" s="64" t="s">
        <v>83</v>
      </c>
      <c r="I206" s="2" t="s">
        <v>284</v>
      </c>
      <c r="J206" s="84"/>
      <c r="K206" s="84"/>
    </row>
    <row r="207" spans="1:16" s="81" customFormat="1" ht="36.75" customHeight="1">
      <c r="A207" s="55"/>
      <c r="B207" s="27" t="s">
        <v>30</v>
      </c>
      <c r="C207" s="42" t="s">
        <v>157</v>
      </c>
      <c r="D207" s="53" t="s">
        <v>11</v>
      </c>
      <c r="E207" s="148">
        <f>1.6*0.3*2</f>
        <v>0.96</v>
      </c>
      <c r="F207" s="65"/>
      <c r="G207" s="134">
        <f t="shared" si="9"/>
        <v>0</v>
      </c>
      <c r="H207" s="64" t="s">
        <v>83</v>
      </c>
      <c r="I207" s="66" t="s">
        <v>279</v>
      </c>
      <c r="J207" s="84"/>
      <c r="K207" s="84"/>
    </row>
    <row r="208" spans="1:16" s="81" customFormat="1" ht="36.75" customHeight="1">
      <c r="A208" s="57"/>
      <c r="B208" s="27" t="s">
        <v>31</v>
      </c>
      <c r="C208" s="42" t="s">
        <v>32</v>
      </c>
      <c r="D208" s="72" t="s">
        <v>20</v>
      </c>
      <c r="E208" s="148">
        <v>1</v>
      </c>
      <c r="F208" s="65"/>
      <c r="G208" s="134">
        <f t="shared" si="9"/>
        <v>0</v>
      </c>
      <c r="H208" s="66" t="s">
        <v>252</v>
      </c>
      <c r="I208" s="66" t="s">
        <v>33</v>
      </c>
      <c r="J208" s="103"/>
      <c r="K208" s="103"/>
    </row>
    <row r="209" spans="1:11" s="81" customFormat="1" ht="36.75" customHeight="1">
      <c r="A209" s="49">
        <v>7</v>
      </c>
      <c r="B209" s="32" t="s">
        <v>149</v>
      </c>
      <c r="C209" s="58" t="s">
        <v>158</v>
      </c>
      <c r="D209" s="50" t="s">
        <v>104</v>
      </c>
      <c r="E209" s="138">
        <v>1</v>
      </c>
      <c r="F209" s="135">
        <f>SUM(G210:G211)</f>
        <v>0</v>
      </c>
      <c r="G209" s="131">
        <f t="shared" si="9"/>
        <v>0</v>
      </c>
      <c r="H209" s="51" t="s">
        <v>80</v>
      </c>
      <c r="I209" s="51"/>
      <c r="J209" s="83"/>
      <c r="K209" s="83"/>
    </row>
    <row r="210" spans="1:11" s="81" customFormat="1" ht="36.75" customHeight="1">
      <c r="A210" s="100" t="s">
        <v>81</v>
      </c>
      <c r="B210" s="53" t="s">
        <v>151</v>
      </c>
      <c r="C210" s="39" t="s">
        <v>158</v>
      </c>
      <c r="D210" s="53" t="s">
        <v>14</v>
      </c>
      <c r="E210" s="158">
        <f>1.3*0.3*0.6</f>
        <v>0.23399999999999999</v>
      </c>
      <c r="F210" s="4"/>
      <c r="G210" s="134">
        <f t="shared" si="9"/>
        <v>0</v>
      </c>
      <c r="H210" s="64" t="s">
        <v>83</v>
      </c>
      <c r="I210" s="64" t="s">
        <v>249</v>
      </c>
      <c r="J210" s="84"/>
      <c r="K210" s="84"/>
    </row>
    <row r="211" spans="1:11" s="81" customFormat="1" ht="36.75" customHeight="1">
      <c r="A211" s="102"/>
      <c r="B211" s="53" t="s">
        <v>84</v>
      </c>
      <c r="C211" s="39" t="s">
        <v>159</v>
      </c>
      <c r="D211" s="56" t="s">
        <v>11</v>
      </c>
      <c r="E211" s="158">
        <f>1.3*0.3*1</f>
        <v>0.39</v>
      </c>
      <c r="F211" s="4"/>
      <c r="G211" s="134">
        <f t="shared" si="9"/>
        <v>0</v>
      </c>
      <c r="H211" s="64" t="s">
        <v>83</v>
      </c>
      <c r="I211" s="64" t="s">
        <v>250</v>
      </c>
      <c r="J211" s="103"/>
      <c r="K211" s="103"/>
    </row>
    <row r="212" spans="1:11" s="81" customFormat="1" ht="48.75" customHeight="1">
      <c r="A212" s="49">
        <v>8</v>
      </c>
      <c r="B212" s="58" t="s">
        <v>28</v>
      </c>
      <c r="C212" s="95" t="s">
        <v>160</v>
      </c>
      <c r="D212" s="50" t="s">
        <v>104</v>
      </c>
      <c r="E212" s="145">
        <v>1</v>
      </c>
      <c r="F212" s="135">
        <f>SUM(G213:G215)</f>
        <v>0</v>
      </c>
      <c r="G212" s="131">
        <f t="shared" si="9"/>
        <v>0</v>
      </c>
      <c r="H212" s="51" t="s">
        <v>27</v>
      </c>
      <c r="I212" s="51"/>
      <c r="J212" s="83"/>
      <c r="K212" s="83"/>
    </row>
    <row r="213" spans="1:11" s="81" customFormat="1" ht="48.75" customHeight="1">
      <c r="A213" s="52" t="s">
        <v>9</v>
      </c>
      <c r="B213" s="27" t="s">
        <v>287</v>
      </c>
      <c r="C213" s="42" t="s">
        <v>161</v>
      </c>
      <c r="D213" s="53" t="s">
        <v>11</v>
      </c>
      <c r="E213" s="148">
        <f>2*0.8</f>
        <v>1.6</v>
      </c>
      <c r="F213" s="65"/>
      <c r="G213" s="130">
        <f t="shared" si="9"/>
        <v>0</v>
      </c>
      <c r="H213" s="64" t="s">
        <v>83</v>
      </c>
      <c r="I213" s="2" t="s">
        <v>284</v>
      </c>
      <c r="J213" s="84"/>
      <c r="K213" s="84"/>
    </row>
    <row r="214" spans="1:11" s="81" customFormat="1" ht="48.75" customHeight="1">
      <c r="A214" s="55"/>
      <c r="B214" s="27" t="s">
        <v>30</v>
      </c>
      <c r="C214" s="42" t="s">
        <v>162</v>
      </c>
      <c r="D214" s="53" t="s">
        <v>11</v>
      </c>
      <c r="E214" s="148">
        <f>2*0.3*2</f>
        <v>1.2</v>
      </c>
      <c r="F214" s="65"/>
      <c r="G214" s="134">
        <f t="shared" si="9"/>
        <v>0</v>
      </c>
      <c r="H214" s="64" t="s">
        <v>83</v>
      </c>
      <c r="I214" s="66" t="s">
        <v>279</v>
      </c>
      <c r="J214" s="84"/>
      <c r="K214" s="84"/>
    </row>
    <row r="215" spans="1:11" s="81" customFormat="1" ht="48.75" customHeight="1">
      <c r="A215" s="57"/>
      <c r="B215" s="27" t="s">
        <v>31</v>
      </c>
      <c r="C215" s="42" t="s">
        <v>32</v>
      </c>
      <c r="D215" s="72" t="s">
        <v>20</v>
      </c>
      <c r="E215" s="148">
        <v>1</v>
      </c>
      <c r="F215" s="65"/>
      <c r="G215" s="134">
        <f t="shared" si="9"/>
        <v>0</v>
      </c>
      <c r="H215" s="66" t="s">
        <v>252</v>
      </c>
      <c r="I215" s="66" t="s">
        <v>33</v>
      </c>
      <c r="J215" s="103"/>
      <c r="K215" s="103"/>
    </row>
    <row r="216" spans="1:11" s="81" customFormat="1" ht="32.25" customHeight="1">
      <c r="A216" s="49">
        <v>9</v>
      </c>
      <c r="B216" s="58" t="s">
        <v>28</v>
      </c>
      <c r="C216" s="95" t="s">
        <v>163</v>
      </c>
      <c r="D216" s="50" t="s">
        <v>104</v>
      </c>
      <c r="E216" s="145">
        <v>1</v>
      </c>
      <c r="F216" s="135">
        <f>SUM(G217:G219)</f>
        <v>0</v>
      </c>
      <c r="G216" s="131">
        <f t="shared" si="9"/>
        <v>0</v>
      </c>
      <c r="H216" s="51" t="s">
        <v>27</v>
      </c>
      <c r="I216" s="51"/>
      <c r="J216" s="83"/>
      <c r="K216" s="83"/>
    </row>
    <row r="217" spans="1:11" s="81" customFormat="1" ht="45" customHeight="1">
      <c r="A217" s="52" t="s">
        <v>9</v>
      </c>
      <c r="B217" s="27" t="s">
        <v>287</v>
      </c>
      <c r="C217" s="42" t="s">
        <v>164</v>
      </c>
      <c r="D217" s="53" t="s">
        <v>11</v>
      </c>
      <c r="E217" s="148">
        <f>2.5*0.8</f>
        <v>2</v>
      </c>
      <c r="F217" s="65"/>
      <c r="G217" s="130">
        <f t="shared" si="9"/>
        <v>0</v>
      </c>
      <c r="H217" s="64" t="s">
        <v>83</v>
      </c>
      <c r="I217" s="2" t="s">
        <v>284</v>
      </c>
      <c r="J217" s="84"/>
      <c r="K217" s="84"/>
    </row>
    <row r="218" spans="1:11" s="81" customFormat="1" ht="45.75" customHeight="1">
      <c r="A218" s="55"/>
      <c r="B218" s="27" t="s">
        <v>30</v>
      </c>
      <c r="C218" s="42" t="s">
        <v>165</v>
      </c>
      <c r="D218" s="53" t="s">
        <v>11</v>
      </c>
      <c r="E218" s="148">
        <f>2.5*0.3*2</f>
        <v>1.5</v>
      </c>
      <c r="F218" s="65"/>
      <c r="G218" s="134">
        <f t="shared" si="9"/>
        <v>0</v>
      </c>
      <c r="H218" s="64" t="s">
        <v>83</v>
      </c>
      <c r="I218" s="66" t="s">
        <v>279</v>
      </c>
      <c r="J218" s="84"/>
      <c r="K218" s="84"/>
    </row>
    <row r="219" spans="1:11" s="81" customFormat="1" ht="32.25" customHeight="1">
      <c r="A219" s="57"/>
      <c r="B219" s="27" t="s">
        <v>31</v>
      </c>
      <c r="C219" s="42" t="s">
        <v>32</v>
      </c>
      <c r="D219" s="72" t="s">
        <v>20</v>
      </c>
      <c r="E219" s="148">
        <v>2</v>
      </c>
      <c r="F219" s="65"/>
      <c r="G219" s="134">
        <f t="shared" si="9"/>
        <v>0</v>
      </c>
      <c r="H219" s="66" t="s">
        <v>252</v>
      </c>
      <c r="I219" s="66" t="s">
        <v>33</v>
      </c>
      <c r="J219" s="103"/>
      <c r="K219" s="103"/>
    </row>
    <row r="220" spans="1:11" s="81" customFormat="1" ht="21" customHeight="1">
      <c r="A220" s="108" t="s">
        <v>49</v>
      </c>
      <c r="B220" s="109"/>
      <c r="C220" s="109"/>
      <c r="D220" s="109"/>
      <c r="E220" s="109"/>
      <c r="F220" s="109"/>
      <c r="G220" s="109"/>
      <c r="H220" s="110"/>
      <c r="I220" s="29"/>
      <c r="J220" s="80"/>
      <c r="K220" s="80"/>
    </row>
    <row r="221" spans="1:11" s="81" customFormat="1" ht="24">
      <c r="A221" s="49">
        <v>1</v>
      </c>
      <c r="B221" s="32" t="s">
        <v>222</v>
      </c>
      <c r="C221" s="32"/>
      <c r="D221" s="49" t="s">
        <v>20</v>
      </c>
      <c r="E221" s="150">
        <v>12</v>
      </c>
      <c r="F221" s="77"/>
      <c r="G221" s="131">
        <f>E221*F221</f>
        <v>0</v>
      </c>
      <c r="H221" s="51" t="s">
        <v>51</v>
      </c>
      <c r="I221" s="61" t="s">
        <v>33</v>
      </c>
      <c r="J221" s="80"/>
      <c r="K221" s="80"/>
    </row>
    <row r="222" spans="1:11" s="81" customFormat="1" ht="60">
      <c r="A222" s="49">
        <v>2</v>
      </c>
      <c r="B222" s="32" t="s">
        <v>166</v>
      </c>
      <c r="C222" s="32" t="s">
        <v>211</v>
      </c>
      <c r="D222" s="49" t="s">
        <v>167</v>
      </c>
      <c r="E222" s="150">
        <v>8</v>
      </c>
      <c r="F222" s="77"/>
      <c r="G222" s="131">
        <f>E222*F222</f>
        <v>0</v>
      </c>
      <c r="H222" s="51" t="s">
        <v>168</v>
      </c>
      <c r="I222" s="51" t="s">
        <v>268</v>
      </c>
      <c r="J222" s="80"/>
      <c r="K222" s="80"/>
    </row>
    <row r="223" spans="1:11" s="81" customFormat="1" ht="18.75">
      <c r="A223" s="111" t="s">
        <v>169</v>
      </c>
      <c r="B223" s="112"/>
      <c r="C223" s="112"/>
      <c r="D223" s="112"/>
      <c r="E223" s="112"/>
      <c r="F223" s="112"/>
      <c r="G223" s="112"/>
      <c r="H223" s="112"/>
      <c r="I223" s="112"/>
      <c r="J223" s="112"/>
      <c r="K223" s="113"/>
    </row>
    <row r="224" spans="1:11" s="81" customFormat="1">
      <c r="A224" s="108" t="s">
        <v>53</v>
      </c>
      <c r="B224" s="109"/>
      <c r="C224" s="109"/>
      <c r="D224" s="109"/>
      <c r="E224" s="109"/>
      <c r="F224" s="109"/>
      <c r="G224" s="109"/>
      <c r="H224" s="110"/>
      <c r="I224" s="29"/>
      <c r="J224" s="80"/>
      <c r="K224" s="80"/>
    </row>
    <row r="225" spans="1:16" s="81" customFormat="1">
      <c r="A225" s="49">
        <v>1</v>
      </c>
      <c r="B225" s="114" t="s">
        <v>54</v>
      </c>
      <c r="C225" s="49" t="s">
        <v>62</v>
      </c>
      <c r="D225" s="49" t="s">
        <v>7</v>
      </c>
      <c r="E225" s="138">
        <v>1</v>
      </c>
      <c r="F225" s="138">
        <f>SUM(G226:G229)</f>
        <v>0</v>
      </c>
      <c r="G225" s="131">
        <f t="shared" ref="G225:G251" si="10">E225*F225</f>
        <v>0</v>
      </c>
      <c r="H225" s="87" t="s">
        <v>8</v>
      </c>
      <c r="I225" s="115"/>
      <c r="J225" s="83"/>
      <c r="K225" s="83"/>
    </row>
    <row r="226" spans="1:16" s="81" customFormat="1" ht="36">
      <c r="A226" s="100" t="s">
        <v>81</v>
      </c>
      <c r="B226" s="53" t="s">
        <v>10</v>
      </c>
      <c r="C226" s="39" t="s">
        <v>63</v>
      </c>
      <c r="D226" s="53" t="s">
        <v>11</v>
      </c>
      <c r="E226" s="146">
        <f>1.3*0.75</f>
        <v>0.97500000000000009</v>
      </c>
      <c r="F226" s="3"/>
      <c r="G226" s="134">
        <f t="shared" si="10"/>
        <v>0</v>
      </c>
      <c r="H226" s="2" t="s">
        <v>12</v>
      </c>
      <c r="I226" s="40" t="s">
        <v>227</v>
      </c>
      <c r="J226" s="84"/>
      <c r="K226" s="84"/>
    </row>
    <row r="227" spans="1:16" s="81" customFormat="1" ht="72.75">
      <c r="A227" s="101"/>
      <c r="B227" s="53" t="s">
        <v>13</v>
      </c>
      <c r="C227" s="42" t="s">
        <v>269</v>
      </c>
      <c r="D227" s="56" t="s">
        <v>14</v>
      </c>
      <c r="E227" s="146">
        <f>(1.3-0.77)*0.75*0.85</f>
        <v>0.33787499999999998</v>
      </c>
      <c r="F227" s="3"/>
      <c r="G227" s="130">
        <f t="shared" si="10"/>
        <v>0</v>
      </c>
      <c r="H227" s="40" t="s">
        <v>234</v>
      </c>
      <c r="I227" s="40" t="s">
        <v>228</v>
      </c>
      <c r="J227" s="84"/>
      <c r="K227" s="84"/>
    </row>
    <row r="228" spans="1:16" s="81" customFormat="1" ht="36">
      <c r="A228" s="101"/>
      <c r="B228" s="53" t="s">
        <v>15</v>
      </c>
      <c r="C228" s="42"/>
      <c r="D228" s="53" t="s">
        <v>16</v>
      </c>
      <c r="E228" s="146">
        <f>(0.75+0.85)*2*2+1.3*3</f>
        <v>10.3</v>
      </c>
      <c r="F228" s="3"/>
      <c r="G228" s="130">
        <f t="shared" si="10"/>
        <v>0</v>
      </c>
      <c r="H228" s="40" t="s">
        <v>229</v>
      </c>
      <c r="I228" s="40" t="s">
        <v>230</v>
      </c>
      <c r="J228" s="84"/>
      <c r="K228" s="84"/>
      <c r="L228" s="116"/>
    </row>
    <row r="229" spans="1:16" s="81" customFormat="1" ht="36.75">
      <c r="A229" s="102"/>
      <c r="B229" s="38" t="s">
        <v>17</v>
      </c>
      <c r="C229" s="90" t="s">
        <v>170</v>
      </c>
      <c r="D229" s="53" t="s">
        <v>11</v>
      </c>
      <c r="E229" s="153">
        <f>0.77*0.66+0.57*0.66</f>
        <v>0.88439999999999996</v>
      </c>
      <c r="F229" s="3"/>
      <c r="G229" s="130">
        <f t="shared" si="10"/>
        <v>0</v>
      </c>
      <c r="H229" s="40" t="s">
        <v>233</v>
      </c>
      <c r="I229" s="40" t="s">
        <v>232</v>
      </c>
      <c r="J229" s="84"/>
      <c r="K229" s="84"/>
      <c r="L229" s="12"/>
      <c r="P229" s="81" t="s">
        <v>90</v>
      </c>
    </row>
    <row r="230" spans="1:16" s="81" customFormat="1">
      <c r="A230" s="49">
        <v>2</v>
      </c>
      <c r="B230" s="32" t="s">
        <v>58</v>
      </c>
      <c r="C230" s="33" t="s">
        <v>59</v>
      </c>
      <c r="D230" s="50" t="s">
        <v>7</v>
      </c>
      <c r="E230" s="145">
        <v>2</v>
      </c>
      <c r="F230" s="135">
        <f>SUM(G231:G234)</f>
        <v>0</v>
      </c>
      <c r="G230" s="131">
        <f t="shared" si="10"/>
        <v>0</v>
      </c>
      <c r="H230" s="51" t="s">
        <v>8</v>
      </c>
      <c r="I230" s="117"/>
      <c r="J230" s="84"/>
      <c r="K230" s="84"/>
    </row>
    <row r="231" spans="1:16" s="81" customFormat="1" ht="36">
      <c r="A231" s="100" t="s">
        <v>81</v>
      </c>
      <c r="B231" s="53" t="s">
        <v>10</v>
      </c>
      <c r="C231" s="39" t="s">
        <v>60</v>
      </c>
      <c r="D231" s="53" t="s">
        <v>11</v>
      </c>
      <c r="E231" s="146">
        <f>1*1</f>
        <v>1</v>
      </c>
      <c r="F231" s="3"/>
      <c r="G231" s="134">
        <f t="shared" si="10"/>
        <v>0</v>
      </c>
      <c r="H231" s="2" t="s">
        <v>12</v>
      </c>
      <c r="I231" s="40" t="s">
        <v>227</v>
      </c>
      <c r="J231" s="84"/>
      <c r="K231" s="84"/>
    </row>
    <row r="232" spans="1:16" s="81" customFormat="1" ht="72.75">
      <c r="A232" s="101"/>
      <c r="B232" s="53" t="s">
        <v>13</v>
      </c>
      <c r="C232" s="42" t="s">
        <v>59</v>
      </c>
      <c r="D232" s="56" t="s">
        <v>14</v>
      </c>
      <c r="E232" s="146">
        <f>1*1*0.85</f>
        <v>0.85</v>
      </c>
      <c r="F232" s="3"/>
      <c r="G232" s="130">
        <f t="shared" si="10"/>
        <v>0</v>
      </c>
      <c r="H232" s="40" t="s">
        <v>234</v>
      </c>
      <c r="I232" s="40" t="s">
        <v>228</v>
      </c>
      <c r="J232" s="84"/>
      <c r="K232" s="84"/>
    </row>
    <row r="233" spans="1:16" s="81" customFormat="1" ht="36">
      <c r="A233" s="101"/>
      <c r="B233" s="53" t="s">
        <v>15</v>
      </c>
      <c r="C233" s="42"/>
      <c r="D233" s="53" t="s">
        <v>16</v>
      </c>
      <c r="E233" s="146">
        <f>(0.75+0.85)*2*2+1*4+0.85+0.4</f>
        <v>11.65</v>
      </c>
      <c r="F233" s="3"/>
      <c r="G233" s="130">
        <f t="shared" si="10"/>
        <v>0</v>
      </c>
      <c r="H233" s="40" t="s">
        <v>229</v>
      </c>
      <c r="I233" s="40" t="s">
        <v>230</v>
      </c>
      <c r="J233" s="84"/>
      <c r="K233" s="84"/>
    </row>
    <row r="234" spans="1:16" s="81" customFormat="1" ht="36.75">
      <c r="A234" s="102"/>
      <c r="B234" s="38" t="s">
        <v>17</v>
      </c>
      <c r="C234" s="90" t="s">
        <v>61</v>
      </c>
      <c r="D234" s="53" t="s">
        <v>11</v>
      </c>
      <c r="E234" s="153">
        <f>0.82*0.66*2</f>
        <v>1.0824</v>
      </c>
      <c r="F234" s="3"/>
      <c r="G234" s="130">
        <f t="shared" si="10"/>
        <v>0</v>
      </c>
      <c r="H234" s="40" t="s">
        <v>233</v>
      </c>
      <c r="I234" s="40" t="s">
        <v>232</v>
      </c>
      <c r="J234" s="84"/>
      <c r="K234" s="84"/>
      <c r="L234" s="12"/>
      <c r="P234" s="81" t="s">
        <v>90</v>
      </c>
    </row>
    <row r="235" spans="1:16" s="81" customFormat="1">
      <c r="A235" s="49">
        <v>3</v>
      </c>
      <c r="B235" s="32" t="s">
        <v>5</v>
      </c>
      <c r="C235" s="33" t="s">
        <v>171</v>
      </c>
      <c r="D235" s="50" t="s">
        <v>7</v>
      </c>
      <c r="E235" s="145">
        <v>1</v>
      </c>
      <c r="F235" s="135">
        <f>SUM(G236:G238)</f>
        <v>0</v>
      </c>
      <c r="G235" s="131">
        <f t="shared" si="10"/>
        <v>0</v>
      </c>
      <c r="H235" s="51" t="s">
        <v>8</v>
      </c>
      <c r="I235" s="117"/>
      <c r="J235" s="84"/>
      <c r="K235" s="84"/>
    </row>
    <row r="236" spans="1:16" s="81" customFormat="1" ht="36">
      <c r="A236" s="100" t="s">
        <v>81</v>
      </c>
      <c r="B236" s="53" t="s">
        <v>10</v>
      </c>
      <c r="C236" s="39" t="s">
        <v>172</v>
      </c>
      <c r="D236" s="53" t="s">
        <v>11</v>
      </c>
      <c r="E236" s="146">
        <f>0.98*0.75</f>
        <v>0.73499999999999999</v>
      </c>
      <c r="F236" s="3"/>
      <c r="G236" s="134">
        <f t="shared" si="10"/>
        <v>0</v>
      </c>
      <c r="H236" s="2" t="s">
        <v>12</v>
      </c>
      <c r="I236" s="40" t="s">
        <v>227</v>
      </c>
      <c r="J236" s="84"/>
      <c r="K236" s="84"/>
    </row>
    <row r="237" spans="1:16" s="81" customFormat="1" ht="36">
      <c r="A237" s="101"/>
      <c r="B237" s="53" t="s">
        <v>15</v>
      </c>
      <c r="C237" s="42"/>
      <c r="D237" s="53" t="s">
        <v>16</v>
      </c>
      <c r="E237" s="146">
        <f>(0.75+0.85)*2*2+0.98*3</f>
        <v>9.34</v>
      </c>
      <c r="F237" s="3"/>
      <c r="G237" s="130">
        <f t="shared" si="10"/>
        <v>0</v>
      </c>
      <c r="H237" s="40" t="s">
        <v>229</v>
      </c>
      <c r="I237" s="40" t="s">
        <v>230</v>
      </c>
      <c r="J237" s="84"/>
      <c r="K237" s="84"/>
    </row>
    <row r="238" spans="1:16" s="81" customFormat="1" ht="36.75">
      <c r="A238" s="102"/>
      <c r="B238" s="38" t="s">
        <v>17</v>
      </c>
      <c r="C238" s="90" t="s">
        <v>173</v>
      </c>
      <c r="D238" s="53" t="s">
        <v>11</v>
      </c>
      <c r="E238" s="153">
        <f>0.98*0.66+0.57*0.66*2</f>
        <v>1.3992</v>
      </c>
      <c r="F238" s="3"/>
      <c r="G238" s="130">
        <f t="shared" si="10"/>
        <v>0</v>
      </c>
      <c r="H238" s="40" t="s">
        <v>233</v>
      </c>
      <c r="I238" s="40" t="s">
        <v>232</v>
      </c>
      <c r="J238" s="103"/>
      <c r="K238" s="103"/>
      <c r="L238" s="12"/>
      <c r="P238" s="81" t="s">
        <v>90</v>
      </c>
    </row>
    <row r="239" spans="1:16" s="81" customFormat="1">
      <c r="A239" s="49">
        <v>5</v>
      </c>
      <c r="B239" s="32" t="s">
        <v>5</v>
      </c>
      <c r="C239" s="33" t="s">
        <v>174</v>
      </c>
      <c r="D239" s="50" t="s">
        <v>7</v>
      </c>
      <c r="E239" s="145">
        <v>1</v>
      </c>
      <c r="F239" s="135">
        <f>SUM(G240:G243)</f>
        <v>0</v>
      </c>
      <c r="G239" s="131">
        <f t="shared" si="10"/>
        <v>0</v>
      </c>
      <c r="H239" s="51" t="s">
        <v>8</v>
      </c>
      <c r="I239" s="51"/>
      <c r="J239" s="83"/>
      <c r="K239" s="83"/>
    </row>
    <row r="240" spans="1:16" s="81" customFormat="1" ht="36">
      <c r="A240" s="100" t="s">
        <v>81</v>
      </c>
      <c r="B240" s="53" t="s">
        <v>10</v>
      </c>
      <c r="C240" s="42" t="s">
        <v>175</v>
      </c>
      <c r="D240" s="53" t="s">
        <v>11</v>
      </c>
      <c r="E240" s="146">
        <f>4*0.75</f>
        <v>3</v>
      </c>
      <c r="F240" s="3"/>
      <c r="G240" s="134">
        <f t="shared" si="10"/>
        <v>0</v>
      </c>
      <c r="H240" s="2" t="s">
        <v>12</v>
      </c>
      <c r="I240" s="40" t="s">
        <v>227</v>
      </c>
      <c r="J240" s="84"/>
      <c r="K240" s="84"/>
    </row>
    <row r="241" spans="1:16" s="81" customFormat="1" ht="72.75">
      <c r="A241" s="101"/>
      <c r="B241" s="53" t="s">
        <v>13</v>
      </c>
      <c r="C241" s="42" t="s">
        <v>270</v>
      </c>
      <c r="D241" s="56" t="s">
        <v>14</v>
      </c>
      <c r="E241" s="146">
        <f>(4-0.635)*0.75*0.85</f>
        <v>2.1451875</v>
      </c>
      <c r="F241" s="3"/>
      <c r="G241" s="130">
        <f t="shared" si="10"/>
        <v>0</v>
      </c>
      <c r="H241" s="40" t="s">
        <v>234</v>
      </c>
      <c r="I241" s="40" t="s">
        <v>228</v>
      </c>
      <c r="J241" s="84"/>
      <c r="K241" s="84"/>
    </row>
    <row r="242" spans="1:16" s="81" customFormat="1" ht="36">
      <c r="A242" s="101"/>
      <c r="B242" s="53" t="s">
        <v>15</v>
      </c>
      <c r="C242" s="42"/>
      <c r="D242" s="53" t="s">
        <v>16</v>
      </c>
      <c r="E242" s="146">
        <f>(0.75+0.85)*2*3+4*3</f>
        <v>21.6</v>
      </c>
      <c r="F242" s="3"/>
      <c r="G242" s="130">
        <f t="shared" si="10"/>
        <v>0</v>
      </c>
      <c r="H242" s="40" t="s">
        <v>229</v>
      </c>
      <c r="I242" s="40" t="s">
        <v>230</v>
      </c>
      <c r="J242" s="84"/>
      <c r="K242" s="84"/>
    </row>
    <row r="243" spans="1:16" s="81" customFormat="1" ht="36.75">
      <c r="A243" s="99"/>
      <c r="B243" s="38" t="s">
        <v>17</v>
      </c>
      <c r="C243" s="90" t="s">
        <v>176</v>
      </c>
      <c r="D243" s="53" t="s">
        <v>11</v>
      </c>
      <c r="E243" s="153">
        <f>0.635*0.66*2+0.57*0.66</f>
        <v>1.2143999999999999</v>
      </c>
      <c r="F243" s="3"/>
      <c r="G243" s="130">
        <f t="shared" si="10"/>
        <v>0</v>
      </c>
      <c r="H243" s="40" t="s">
        <v>233</v>
      </c>
      <c r="I243" s="40" t="s">
        <v>232</v>
      </c>
      <c r="J243" s="84"/>
      <c r="K243" s="84"/>
      <c r="L243" s="12"/>
      <c r="P243" s="81" t="s">
        <v>90</v>
      </c>
    </row>
    <row r="244" spans="1:16" s="81" customFormat="1">
      <c r="A244" s="49">
        <v>6</v>
      </c>
      <c r="B244" s="58" t="s">
        <v>28</v>
      </c>
      <c r="C244" s="33" t="s">
        <v>177</v>
      </c>
      <c r="D244" s="50" t="s">
        <v>104</v>
      </c>
      <c r="E244" s="145">
        <v>1</v>
      </c>
      <c r="F244" s="135">
        <f>SUM(G245:G246)</f>
        <v>0</v>
      </c>
      <c r="G244" s="131">
        <f t="shared" si="10"/>
        <v>0</v>
      </c>
      <c r="H244" s="51" t="s">
        <v>178</v>
      </c>
      <c r="I244" s="51"/>
      <c r="J244" s="84"/>
      <c r="K244" s="84"/>
      <c r="L244" s="116"/>
    </row>
    <row r="245" spans="1:16" s="81" customFormat="1">
      <c r="A245" s="100" t="s">
        <v>81</v>
      </c>
      <c r="B245" s="27" t="s">
        <v>28</v>
      </c>
      <c r="C245" s="42" t="s">
        <v>179</v>
      </c>
      <c r="D245" s="56" t="s">
        <v>11</v>
      </c>
      <c r="E245" s="1">
        <f>4.25*0.9</f>
        <v>3.8250000000000002</v>
      </c>
      <c r="F245" s="6"/>
      <c r="G245" s="134">
        <f t="shared" si="10"/>
        <v>0</v>
      </c>
      <c r="H245" s="118" t="s">
        <v>280</v>
      </c>
      <c r="I245" s="2" t="s">
        <v>284</v>
      </c>
      <c r="J245" s="84"/>
      <c r="K245" s="84"/>
    </row>
    <row r="246" spans="1:16" s="81" customFormat="1">
      <c r="A246" s="102"/>
      <c r="B246" s="39" t="s">
        <v>180</v>
      </c>
      <c r="C246" s="42" t="s">
        <v>181</v>
      </c>
      <c r="D246" s="56" t="s">
        <v>11</v>
      </c>
      <c r="E246" s="1">
        <f>4.25*0.25*2</f>
        <v>2.125</v>
      </c>
      <c r="F246" s="4"/>
      <c r="G246" s="134">
        <f t="shared" si="10"/>
        <v>0</v>
      </c>
      <c r="H246" s="66" t="s">
        <v>254</v>
      </c>
      <c r="I246" s="66" t="s">
        <v>250</v>
      </c>
      <c r="J246" s="84"/>
      <c r="K246" s="84"/>
    </row>
    <row r="247" spans="1:16" s="81" customFormat="1">
      <c r="A247" s="49">
        <v>7</v>
      </c>
      <c r="B247" s="32" t="s">
        <v>149</v>
      </c>
      <c r="C247" s="33" t="s">
        <v>182</v>
      </c>
      <c r="D247" s="50" t="s">
        <v>104</v>
      </c>
      <c r="E247" s="145">
        <v>1</v>
      </c>
      <c r="F247" s="135">
        <f>SUM(G248:G249)</f>
        <v>0</v>
      </c>
      <c r="G247" s="131">
        <f t="shared" si="10"/>
        <v>0</v>
      </c>
      <c r="H247" s="51" t="s">
        <v>80</v>
      </c>
      <c r="I247" s="51"/>
      <c r="J247" s="84"/>
      <c r="K247" s="84"/>
    </row>
    <row r="248" spans="1:16" s="81" customFormat="1" ht="24">
      <c r="A248" s="100" t="s">
        <v>81</v>
      </c>
      <c r="B248" s="53" t="s">
        <v>151</v>
      </c>
      <c r="C248" s="39" t="s">
        <v>182</v>
      </c>
      <c r="D248" s="53" t="s">
        <v>14</v>
      </c>
      <c r="E248" s="159">
        <f>5*0.3*0.6</f>
        <v>0.89999999999999991</v>
      </c>
      <c r="F248" s="4"/>
      <c r="G248" s="134">
        <f t="shared" si="10"/>
        <v>0</v>
      </c>
      <c r="H248" s="66" t="s">
        <v>83</v>
      </c>
      <c r="I248" s="64" t="s">
        <v>249</v>
      </c>
      <c r="J248" s="84"/>
      <c r="K248" s="84"/>
    </row>
    <row r="249" spans="1:16" s="81" customFormat="1" ht="24">
      <c r="A249" s="102"/>
      <c r="B249" s="53" t="s">
        <v>84</v>
      </c>
      <c r="C249" s="39" t="s">
        <v>183</v>
      </c>
      <c r="D249" s="56" t="s">
        <v>11</v>
      </c>
      <c r="E249" s="159">
        <f>5*0.3</f>
        <v>1.5</v>
      </c>
      <c r="F249" s="4"/>
      <c r="G249" s="134">
        <f t="shared" si="10"/>
        <v>0</v>
      </c>
      <c r="H249" s="66" t="s">
        <v>83</v>
      </c>
      <c r="I249" s="64" t="s">
        <v>250</v>
      </c>
      <c r="J249" s="84"/>
      <c r="K249" s="84"/>
    </row>
    <row r="250" spans="1:16" s="81" customFormat="1" ht="36">
      <c r="A250" s="49">
        <v>8</v>
      </c>
      <c r="B250" s="32" t="s">
        <v>293</v>
      </c>
      <c r="C250" s="32" t="s">
        <v>294</v>
      </c>
      <c r="D250" s="50" t="s">
        <v>20</v>
      </c>
      <c r="E250" s="145">
        <v>1</v>
      </c>
      <c r="F250" s="48"/>
      <c r="G250" s="131">
        <f t="shared" si="10"/>
        <v>0</v>
      </c>
      <c r="H250" s="35" t="s">
        <v>277</v>
      </c>
      <c r="I250" s="35" t="s">
        <v>236</v>
      </c>
      <c r="J250" s="84"/>
      <c r="K250" s="84"/>
    </row>
    <row r="251" spans="1:16" s="81" customFormat="1" ht="24">
      <c r="A251" s="49">
        <v>9</v>
      </c>
      <c r="B251" s="47" t="s">
        <v>297</v>
      </c>
      <c r="C251" s="33" t="s">
        <v>296</v>
      </c>
      <c r="D251" s="50" t="s">
        <v>20</v>
      </c>
      <c r="E251" s="145">
        <v>1</v>
      </c>
      <c r="F251" s="48"/>
      <c r="G251" s="131">
        <f t="shared" si="10"/>
        <v>0</v>
      </c>
      <c r="H251" s="35" t="s">
        <v>276</v>
      </c>
      <c r="I251" s="35" t="s">
        <v>236</v>
      </c>
      <c r="J251" s="103"/>
      <c r="K251" s="103"/>
    </row>
    <row r="252" spans="1:16" s="81" customFormat="1">
      <c r="A252" s="104" t="s">
        <v>184</v>
      </c>
      <c r="B252" s="104"/>
      <c r="C252" s="104"/>
      <c r="D252" s="104"/>
      <c r="E252" s="104"/>
      <c r="F252" s="104"/>
      <c r="G252" s="104"/>
      <c r="H252" s="104"/>
      <c r="I252" s="29"/>
      <c r="J252" s="80"/>
      <c r="K252" s="80"/>
    </row>
    <row r="253" spans="1:16" s="81" customFormat="1" ht="37.5" customHeight="1">
      <c r="A253" s="32">
        <v>1</v>
      </c>
      <c r="B253" s="32" t="s">
        <v>5</v>
      </c>
      <c r="C253" s="33" t="s">
        <v>185</v>
      </c>
      <c r="D253" s="50" t="s">
        <v>7</v>
      </c>
      <c r="E253" s="145">
        <v>1</v>
      </c>
      <c r="F253" s="135">
        <f>SUM(G254:G257)</f>
        <v>0</v>
      </c>
      <c r="G253" s="131">
        <f t="shared" ref="G253:G263" si="11">E253*F253</f>
        <v>0</v>
      </c>
      <c r="H253" s="51" t="s">
        <v>8</v>
      </c>
      <c r="I253" s="51"/>
      <c r="J253" s="82"/>
      <c r="K253" s="82"/>
    </row>
    <row r="254" spans="1:16" s="81" customFormat="1" ht="36">
      <c r="A254" s="100" t="s">
        <v>81</v>
      </c>
      <c r="B254" s="53" t="s">
        <v>10</v>
      </c>
      <c r="C254" s="42" t="s">
        <v>29</v>
      </c>
      <c r="D254" s="53" t="s">
        <v>11</v>
      </c>
      <c r="E254" s="146">
        <f>1.5*0.8</f>
        <v>1.2000000000000002</v>
      </c>
      <c r="F254" s="3"/>
      <c r="G254" s="134">
        <f t="shared" si="11"/>
        <v>0</v>
      </c>
      <c r="H254" s="2" t="s">
        <v>12</v>
      </c>
      <c r="I254" s="40" t="s">
        <v>227</v>
      </c>
      <c r="J254" s="82"/>
      <c r="K254" s="82"/>
    </row>
    <row r="255" spans="1:16" s="81" customFormat="1" ht="92.25" customHeight="1">
      <c r="A255" s="101"/>
      <c r="B255" s="53" t="s">
        <v>13</v>
      </c>
      <c r="C255" s="42" t="s">
        <v>271</v>
      </c>
      <c r="D255" s="56" t="s">
        <v>14</v>
      </c>
      <c r="E255" s="146">
        <f>(1.5-0.595)*0.8*0.85</f>
        <v>0.61540000000000006</v>
      </c>
      <c r="F255" s="3"/>
      <c r="G255" s="130">
        <f t="shared" si="11"/>
        <v>0</v>
      </c>
      <c r="H255" s="40" t="s">
        <v>234</v>
      </c>
      <c r="I255" s="40" t="s">
        <v>228</v>
      </c>
      <c r="J255" s="82"/>
      <c r="K255" s="82"/>
    </row>
    <row r="256" spans="1:16" s="81" customFormat="1" ht="55.5" customHeight="1">
      <c r="A256" s="101"/>
      <c r="B256" s="53" t="s">
        <v>15</v>
      </c>
      <c r="C256" s="42"/>
      <c r="D256" s="53" t="s">
        <v>16</v>
      </c>
      <c r="E256" s="146">
        <f>(0.8+0.85)*2*2+1.5*3</f>
        <v>11.1</v>
      </c>
      <c r="F256" s="3"/>
      <c r="G256" s="130">
        <f t="shared" si="11"/>
        <v>0</v>
      </c>
      <c r="H256" s="40" t="s">
        <v>229</v>
      </c>
      <c r="I256" s="40" t="s">
        <v>230</v>
      </c>
      <c r="J256" s="82"/>
      <c r="K256" s="82"/>
    </row>
    <row r="257" spans="1:16" s="81" customFormat="1" ht="58.5" customHeight="1">
      <c r="A257" s="57"/>
      <c r="B257" s="38" t="s">
        <v>17</v>
      </c>
      <c r="C257" s="90" t="s">
        <v>186</v>
      </c>
      <c r="D257" s="53" t="s">
        <v>11</v>
      </c>
      <c r="E257" s="153">
        <f>0.595*0.66+0.57*0.66*2</f>
        <v>1.1451</v>
      </c>
      <c r="F257" s="3"/>
      <c r="G257" s="130">
        <f t="shared" si="11"/>
        <v>0</v>
      </c>
      <c r="H257" s="40" t="s">
        <v>233</v>
      </c>
      <c r="I257" s="40" t="s">
        <v>232</v>
      </c>
      <c r="J257" s="73"/>
      <c r="K257" s="73"/>
      <c r="L257" s="12"/>
      <c r="P257" s="81" t="s">
        <v>90</v>
      </c>
    </row>
    <row r="258" spans="1:16" s="81" customFormat="1">
      <c r="A258" s="49">
        <v>2</v>
      </c>
      <c r="B258" s="58" t="s">
        <v>28</v>
      </c>
      <c r="C258" s="33" t="s">
        <v>187</v>
      </c>
      <c r="D258" s="50" t="s">
        <v>104</v>
      </c>
      <c r="E258" s="145">
        <v>1</v>
      </c>
      <c r="F258" s="135">
        <f>SUM(G259:G260)</f>
        <v>0</v>
      </c>
      <c r="G258" s="131">
        <f t="shared" si="11"/>
        <v>0</v>
      </c>
      <c r="H258" s="51" t="s">
        <v>178</v>
      </c>
      <c r="I258" s="51"/>
      <c r="J258" s="82"/>
      <c r="K258" s="82"/>
    </row>
    <row r="259" spans="1:16" s="81" customFormat="1">
      <c r="A259" s="107" t="s">
        <v>81</v>
      </c>
      <c r="B259" s="27" t="s">
        <v>28</v>
      </c>
      <c r="C259" s="42" t="s">
        <v>188</v>
      </c>
      <c r="D259" s="56" t="s">
        <v>11</v>
      </c>
      <c r="E259" s="1">
        <f>1.5*0.9</f>
        <v>1.35</v>
      </c>
      <c r="F259" s="6"/>
      <c r="G259" s="134">
        <f t="shared" si="11"/>
        <v>0</v>
      </c>
      <c r="H259" s="118" t="s">
        <v>280</v>
      </c>
      <c r="I259" s="2" t="s">
        <v>284</v>
      </c>
      <c r="J259" s="82"/>
      <c r="K259" s="82"/>
    </row>
    <row r="260" spans="1:16" s="81" customFormat="1">
      <c r="A260" s="107"/>
      <c r="B260" s="39" t="s">
        <v>180</v>
      </c>
      <c r="C260" s="42" t="s">
        <v>189</v>
      </c>
      <c r="D260" s="56" t="s">
        <v>11</v>
      </c>
      <c r="E260" s="1">
        <f>1.5*0.25*2</f>
        <v>0.75</v>
      </c>
      <c r="F260" s="4"/>
      <c r="G260" s="134">
        <f t="shared" si="11"/>
        <v>0</v>
      </c>
      <c r="H260" s="66" t="s">
        <v>254</v>
      </c>
      <c r="I260" s="66" t="s">
        <v>250</v>
      </c>
      <c r="J260" s="82"/>
      <c r="K260" s="82"/>
    </row>
    <row r="261" spans="1:16" s="81" customFormat="1">
      <c r="A261" s="49">
        <v>3</v>
      </c>
      <c r="B261" s="32" t="s">
        <v>149</v>
      </c>
      <c r="C261" s="33" t="s">
        <v>150</v>
      </c>
      <c r="D261" s="50" t="s">
        <v>104</v>
      </c>
      <c r="E261" s="145">
        <v>1</v>
      </c>
      <c r="F261" s="135">
        <f>SUM(G262:G263)</f>
        <v>0</v>
      </c>
      <c r="G261" s="131">
        <f t="shared" si="11"/>
        <v>0</v>
      </c>
      <c r="H261" s="51" t="s">
        <v>80</v>
      </c>
      <c r="I261" s="51"/>
      <c r="J261" s="82"/>
      <c r="K261" s="82"/>
    </row>
    <row r="262" spans="1:16" s="81" customFormat="1" ht="24">
      <c r="A262" s="107" t="s">
        <v>81</v>
      </c>
      <c r="B262" s="53" t="s">
        <v>151</v>
      </c>
      <c r="C262" s="39" t="s">
        <v>150</v>
      </c>
      <c r="D262" s="53" t="s">
        <v>14</v>
      </c>
      <c r="E262" s="159">
        <f>1.5*0.3*0.6</f>
        <v>0.26999999999999996</v>
      </c>
      <c r="F262" s="4"/>
      <c r="G262" s="134">
        <f t="shared" si="11"/>
        <v>0</v>
      </c>
      <c r="H262" s="66" t="s">
        <v>83</v>
      </c>
      <c r="I262" s="64" t="s">
        <v>249</v>
      </c>
      <c r="J262" s="82"/>
      <c r="K262" s="82"/>
    </row>
    <row r="263" spans="1:16" s="81" customFormat="1" ht="24">
      <c r="A263" s="107"/>
      <c r="B263" s="53" t="s">
        <v>84</v>
      </c>
      <c r="C263" s="39" t="s">
        <v>190</v>
      </c>
      <c r="D263" s="56" t="s">
        <v>11</v>
      </c>
      <c r="E263" s="159">
        <f>1.5*0.3</f>
        <v>0.44999999999999996</v>
      </c>
      <c r="F263" s="4"/>
      <c r="G263" s="134">
        <f t="shared" si="11"/>
        <v>0</v>
      </c>
      <c r="H263" s="66" t="s">
        <v>83</v>
      </c>
      <c r="I263" s="64" t="s">
        <v>250</v>
      </c>
      <c r="J263" s="82"/>
      <c r="K263" s="82"/>
    </row>
    <row r="264" spans="1:16" s="81" customFormat="1">
      <c r="A264" s="104" t="s">
        <v>191</v>
      </c>
      <c r="B264" s="104"/>
      <c r="C264" s="104"/>
      <c r="D264" s="104"/>
      <c r="E264" s="104"/>
      <c r="F264" s="104"/>
      <c r="G264" s="104"/>
      <c r="H264" s="104"/>
      <c r="I264" s="29"/>
      <c r="J264" s="80"/>
      <c r="K264" s="80"/>
    </row>
    <row r="265" spans="1:16" s="81" customFormat="1">
      <c r="A265" s="49">
        <v>1</v>
      </c>
      <c r="B265" s="32" t="s">
        <v>5</v>
      </c>
      <c r="C265" s="32" t="s">
        <v>192</v>
      </c>
      <c r="D265" s="50" t="s">
        <v>7</v>
      </c>
      <c r="E265" s="145">
        <v>1</v>
      </c>
      <c r="F265" s="135">
        <f>SUM(G266:G269)</f>
        <v>0</v>
      </c>
      <c r="G265" s="131">
        <f t="shared" ref="G265:G275" si="12">E265*F265</f>
        <v>0</v>
      </c>
      <c r="H265" s="51" t="s">
        <v>8</v>
      </c>
      <c r="I265" s="51"/>
      <c r="J265" s="82"/>
      <c r="K265" s="82"/>
    </row>
    <row r="266" spans="1:16" s="81" customFormat="1" ht="36">
      <c r="A266" s="100" t="s">
        <v>81</v>
      </c>
      <c r="B266" s="53" t="s">
        <v>10</v>
      </c>
      <c r="C266" s="39" t="s">
        <v>193</v>
      </c>
      <c r="D266" s="53" t="s">
        <v>11</v>
      </c>
      <c r="E266" s="146">
        <f>3*0.75</f>
        <v>2.25</v>
      </c>
      <c r="F266" s="3"/>
      <c r="G266" s="134">
        <f t="shared" si="12"/>
        <v>0</v>
      </c>
      <c r="H266" s="2" t="s">
        <v>12</v>
      </c>
      <c r="I266" s="40" t="s">
        <v>227</v>
      </c>
      <c r="J266" s="82"/>
      <c r="K266" s="82"/>
    </row>
    <row r="267" spans="1:16" s="81" customFormat="1" ht="72.75">
      <c r="A267" s="101"/>
      <c r="B267" s="53" t="s">
        <v>13</v>
      </c>
      <c r="C267" s="39" t="s">
        <v>272</v>
      </c>
      <c r="D267" s="56" t="s">
        <v>14</v>
      </c>
      <c r="E267" s="146">
        <f>(3-0.623*2)*0.75*0.85</f>
        <v>1.1181750000000001</v>
      </c>
      <c r="F267" s="3"/>
      <c r="G267" s="130">
        <f t="shared" si="12"/>
        <v>0</v>
      </c>
      <c r="H267" s="40" t="s">
        <v>234</v>
      </c>
      <c r="I267" s="40" t="s">
        <v>228</v>
      </c>
      <c r="J267" s="82"/>
      <c r="K267" s="82"/>
    </row>
    <row r="268" spans="1:16" s="81" customFormat="1" ht="36">
      <c r="A268" s="101"/>
      <c r="B268" s="53" t="s">
        <v>15</v>
      </c>
      <c r="C268" s="42"/>
      <c r="D268" s="53" t="s">
        <v>16</v>
      </c>
      <c r="E268" s="146">
        <f>(0.75+0.85)*2*3+3*3</f>
        <v>18.600000000000001</v>
      </c>
      <c r="F268" s="3"/>
      <c r="G268" s="130">
        <f t="shared" si="12"/>
        <v>0</v>
      </c>
      <c r="H268" s="40" t="s">
        <v>229</v>
      </c>
      <c r="I268" s="40" t="s">
        <v>230</v>
      </c>
      <c r="J268" s="82"/>
      <c r="K268" s="82"/>
    </row>
    <row r="269" spans="1:16" s="81" customFormat="1" ht="36.75">
      <c r="A269" s="57"/>
      <c r="B269" s="38" t="s">
        <v>17</v>
      </c>
      <c r="C269" s="90" t="s">
        <v>194</v>
      </c>
      <c r="D269" s="53" t="s">
        <v>11</v>
      </c>
      <c r="E269" s="153">
        <f>0.623*0.66*2+0.57*0.66*3</f>
        <v>1.9509600000000002</v>
      </c>
      <c r="F269" s="3"/>
      <c r="G269" s="130">
        <f t="shared" si="12"/>
        <v>0</v>
      </c>
      <c r="H269" s="40" t="s">
        <v>233</v>
      </c>
      <c r="I269" s="40" t="s">
        <v>232</v>
      </c>
      <c r="J269" s="73"/>
      <c r="K269" s="73"/>
      <c r="L269" s="12"/>
      <c r="P269" s="81" t="s">
        <v>90</v>
      </c>
    </row>
    <row r="270" spans="1:16" s="81" customFormat="1">
      <c r="A270" s="49">
        <v>2</v>
      </c>
      <c r="B270" s="58" t="s">
        <v>28</v>
      </c>
      <c r="C270" s="33" t="s">
        <v>195</v>
      </c>
      <c r="D270" s="50" t="s">
        <v>104</v>
      </c>
      <c r="E270" s="145">
        <v>1</v>
      </c>
      <c r="F270" s="135">
        <f>SUM(G271:G272)</f>
        <v>0</v>
      </c>
      <c r="G270" s="131">
        <f t="shared" si="12"/>
        <v>0</v>
      </c>
      <c r="H270" s="51" t="s">
        <v>178</v>
      </c>
      <c r="I270" s="51"/>
      <c r="J270" s="82"/>
      <c r="K270" s="82"/>
    </row>
    <row r="271" spans="1:16" s="81" customFormat="1">
      <c r="A271" s="107" t="s">
        <v>81</v>
      </c>
      <c r="B271" s="27" t="s">
        <v>28</v>
      </c>
      <c r="C271" s="42" t="s">
        <v>196</v>
      </c>
      <c r="D271" s="56" t="s">
        <v>11</v>
      </c>
      <c r="E271" s="1">
        <f>3*0.9</f>
        <v>2.7</v>
      </c>
      <c r="F271" s="6"/>
      <c r="G271" s="134">
        <f t="shared" si="12"/>
        <v>0</v>
      </c>
      <c r="H271" s="118" t="s">
        <v>281</v>
      </c>
      <c r="I271" s="2" t="s">
        <v>284</v>
      </c>
      <c r="J271" s="82"/>
      <c r="K271" s="82"/>
    </row>
    <row r="272" spans="1:16" s="81" customFormat="1">
      <c r="A272" s="107"/>
      <c r="B272" s="39" t="s">
        <v>180</v>
      </c>
      <c r="C272" s="42" t="s">
        <v>197</v>
      </c>
      <c r="D272" s="56" t="s">
        <v>11</v>
      </c>
      <c r="E272" s="1">
        <f>3*0.25*2</f>
        <v>1.5</v>
      </c>
      <c r="F272" s="4"/>
      <c r="G272" s="134">
        <f t="shared" si="12"/>
        <v>0</v>
      </c>
      <c r="H272" s="66" t="s">
        <v>254</v>
      </c>
      <c r="I272" s="66" t="s">
        <v>250</v>
      </c>
      <c r="J272" s="82"/>
      <c r="K272" s="82"/>
    </row>
    <row r="273" spans="1:16" s="81" customFormat="1">
      <c r="A273" s="49">
        <v>3</v>
      </c>
      <c r="B273" s="32" t="s">
        <v>149</v>
      </c>
      <c r="C273" s="33" t="s">
        <v>198</v>
      </c>
      <c r="D273" s="50" t="s">
        <v>104</v>
      </c>
      <c r="E273" s="145">
        <v>1</v>
      </c>
      <c r="F273" s="135">
        <f>SUM(G274:G275)</f>
        <v>0</v>
      </c>
      <c r="G273" s="131">
        <f t="shared" si="12"/>
        <v>0</v>
      </c>
      <c r="H273" s="51" t="s">
        <v>80</v>
      </c>
      <c r="I273" s="51"/>
      <c r="J273" s="82"/>
      <c r="K273" s="82"/>
    </row>
    <row r="274" spans="1:16" s="81" customFormat="1" ht="24">
      <c r="A274" s="107" t="s">
        <v>81</v>
      </c>
      <c r="B274" s="53" t="s">
        <v>151</v>
      </c>
      <c r="C274" s="42" t="s">
        <v>198</v>
      </c>
      <c r="D274" s="53" t="s">
        <v>14</v>
      </c>
      <c r="E274" s="159">
        <f>3*0.3*0.6</f>
        <v>0.53999999999999992</v>
      </c>
      <c r="F274" s="4"/>
      <c r="G274" s="134">
        <f t="shared" si="12"/>
        <v>0</v>
      </c>
      <c r="H274" s="66" t="s">
        <v>83</v>
      </c>
      <c r="I274" s="64" t="s">
        <v>249</v>
      </c>
      <c r="J274" s="82"/>
      <c r="K274" s="82"/>
    </row>
    <row r="275" spans="1:16" s="81" customFormat="1" ht="24">
      <c r="A275" s="107"/>
      <c r="B275" s="53" t="s">
        <v>84</v>
      </c>
      <c r="C275" s="42" t="s">
        <v>199</v>
      </c>
      <c r="D275" s="56" t="s">
        <v>11</v>
      </c>
      <c r="E275" s="159">
        <f>3*0.3</f>
        <v>0.89999999999999991</v>
      </c>
      <c r="F275" s="4"/>
      <c r="G275" s="134">
        <f t="shared" si="12"/>
        <v>0</v>
      </c>
      <c r="H275" s="66" t="s">
        <v>83</v>
      </c>
      <c r="I275" s="64" t="s">
        <v>250</v>
      </c>
      <c r="J275" s="82"/>
      <c r="K275" s="82"/>
    </row>
    <row r="276" spans="1:16" s="81" customFormat="1">
      <c r="A276" s="104" t="s">
        <v>200</v>
      </c>
      <c r="B276" s="104"/>
      <c r="C276" s="104"/>
      <c r="D276" s="104"/>
      <c r="E276" s="104"/>
      <c r="F276" s="104"/>
      <c r="G276" s="104"/>
      <c r="H276" s="104"/>
      <c r="I276" s="29"/>
      <c r="J276" s="80"/>
      <c r="K276" s="80"/>
    </row>
    <row r="277" spans="1:16" s="81" customFormat="1">
      <c r="A277" s="49">
        <v>1</v>
      </c>
      <c r="B277" s="32" t="s">
        <v>5</v>
      </c>
      <c r="C277" s="33" t="s">
        <v>72</v>
      </c>
      <c r="D277" s="50" t="s">
        <v>7</v>
      </c>
      <c r="E277" s="145">
        <v>1</v>
      </c>
      <c r="F277" s="135">
        <f>SUM(G278:G281)</f>
        <v>0</v>
      </c>
      <c r="G277" s="131">
        <f t="shared" ref="G277:G299" si="13">E277*F277</f>
        <v>0</v>
      </c>
      <c r="H277" s="51" t="s">
        <v>8</v>
      </c>
      <c r="I277" s="69"/>
      <c r="J277" s="83"/>
      <c r="K277" s="83"/>
    </row>
    <row r="278" spans="1:16" s="81" customFormat="1" ht="36">
      <c r="A278" s="100" t="s">
        <v>81</v>
      </c>
      <c r="B278" s="53" t="s">
        <v>10</v>
      </c>
      <c r="C278" s="42" t="s">
        <v>73</v>
      </c>
      <c r="D278" s="53" t="s">
        <v>11</v>
      </c>
      <c r="E278" s="146">
        <f>1.1*0.75</f>
        <v>0.82500000000000007</v>
      </c>
      <c r="F278" s="3"/>
      <c r="G278" s="134">
        <f t="shared" si="13"/>
        <v>0</v>
      </c>
      <c r="H278" s="2" t="s">
        <v>12</v>
      </c>
      <c r="I278" s="40" t="s">
        <v>227</v>
      </c>
      <c r="J278" s="84"/>
      <c r="K278" s="84"/>
    </row>
    <row r="279" spans="1:16" s="81" customFormat="1" ht="72.75">
      <c r="A279" s="101"/>
      <c r="B279" s="53" t="s">
        <v>13</v>
      </c>
      <c r="C279" s="42" t="s">
        <v>273</v>
      </c>
      <c r="D279" s="56" t="s">
        <v>14</v>
      </c>
      <c r="E279" s="146">
        <f>(1.1-0.57)*0.75*0.85</f>
        <v>0.33787500000000004</v>
      </c>
      <c r="F279" s="3"/>
      <c r="G279" s="130">
        <f t="shared" si="13"/>
        <v>0</v>
      </c>
      <c r="H279" s="40" t="s">
        <v>234</v>
      </c>
      <c r="I279" s="40" t="s">
        <v>228</v>
      </c>
      <c r="J279" s="84"/>
      <c r="K279" s="84"/>
    </row>
    <row r="280" spans="1:16" s="81" customFormat="1" ht="36">
      <c r="A280" s="101"/>
      <c r="B280" s="53" t="s">
        <v>15</v>
      </c>
      <c r="C280" s="42">
        <f>1100-450-80</f>
        <v>570</v>
      </c>
      <c r="D280" s="53" t="s">
        <v>16</v>
      </c>
      <c r="E280" s="146">
        <f>(0.75+0.85)*2*2+1.1*3</f>
        <v>9.7000000000000011</v>
      </c>
      <c r="F280" s="3"/>
      <c r="G280" s="130">
        <f t="shared" si="13"/>
        <v>0</v>
      </c>
      <c r="H280" s="40" t="s">
        <v>229</v>
      </c>
      <c r="I280" s="40" t="s">
        <v>230</v>
      </c>
      <c r="J280" s="84"/>
      <c r="K280" s="84"/>
    </row>
    <row r="281" spans="1:16" s="81" customFormat="1" ht="36.75">
      <c r="A281" s="57"/>
      <c r="B281" s="38" t="s">
        <v>17</v>
      </c>
      <c r="C281" s="90" t="s">
        <v>201</v>
      </c>
      <c r="D281" s="53" t="s">
        <v>11</v>
      </c>
      <c r="E281" s="153">
        <f>0.57*0.66*2</f>
        <v>0.75239999999999996</v>
      </c>
      <c r="F281" s="3"/>
      <c r="G281" s="130">
        <f t="shared" si="13"/>
        <v>0</v>
      </c>
      <c r="H281" s="40" t="s">
        <v>233</v>
      </c>
      <c r="I281" s="40" t="s">
        <v>232</v>
      </c>
      <c r="J281" s="84"/>
      <c r="K281" s="84"/>
      <c r="L281" s="12"/>
      <c r="P281" s="81" t="s">
        <v>90</v>
      </c>
    </row>
    <row r="282" spans="1:16" s="81" customFormat="1">
      <c r="A282" s="49">
        <v>2</v>
      </c>
      <c r="B282" s="32" t="s">
        <v>58</v>
      </c>
      <c r="C282" s="33" t="s">
        <v>59</v>
      </c>
      <c r="D282" s="50" t="s">
        <v>7</v>
      </c>
      <c r="E282" s="145">
        <v>1</v>
      </c>
      <c r="F282" s="135">
        <f>SUM(G283:G286)</f>
        <v>0</v>
      </c>
      <c r="G282" s="131">
        <f t="shared" si="13"/>
        <v>0</v>
      </c>
      <c r="H282" s="51" t="s">
        <v>8</v>
      </c>
      <c r="I282" s="117"/>
      <c r="J282" s="84"/>
      <c r="K282" s="84"/>
    </row>
    <row r="283" spans="1:16" s="81" customFormat="1" ht="36">
      <c r="A283" s="100" t="s">
        <v>81</v>
      </c>
      <c r="B283" s="53" t="s">
        <v>10</v>
      </c>
      <c r="C283" s="42" t="s">
        <v>60</v>
      </c>
      <c r="D283" s="53" t="s">
        <v>11</v>
      </c>
      <c r="E283" s="146">
        <f>1*1</f>
        <v>1</v>
      </c>
      <c r="F283" s="3"/>
      <c r="G283" s="134">
        <f t="shared" si="13"/>
        <v>0</v>
      </c>
      <c r="H283" s="2" t="s">
        <v>12</v>
      </c>
      <c r="I283" s="40" t="s">
        <v>227</v>
      </c>
      <c r="J283" s="84"/>
      <c r="K283" s="84"/>
    </row>
    <row r="284" spans="1:16" s="81" customFormat="1" ht="72.75">
      <c r="A284" s="101"/>
      <c r="B284" s="53" t="s">
        <v>13</v>
      </c>
      <c r="C284" s="42" t="s">
        <v>59</v>
      </c>
      <c r="D284" s="56" t="s">
        <v>14</v>
      </c>
      <c r="E284" s="146">
        <f>1*1*0.85</f>
        <v>0.85</v>
      </c>
      <c r="F284" s="3"/>
      <c r="G284" s="130">
        <f t="shared" si="13"/>
        <v>0</v>
      </c>
      <c r="H284" s="40" t="s">
        <v>234</v>
      </c>
      <c r="I284" s="40" t="s">
        <v>228</v>
      </c>
      <c r="J284" s="84"/>
      <c r="K284" s="84"/>
    </row>
    <row r="285" spans="1:16" s="81" customFormat="1" ht="36">
      <c r="A285" s="101"/>
      <c r="B285" s="53" t="s">
        <v>15</v>
      </c>
      <c r="C285" s="42"/>
      <c r="D285" s="53" t="s">
        <v>16</v>
      </c>
      <c r="E285" s="146">
        <f>(0.75+0.85)*2*2+1*4+0.85+0.4</f>
        <v>11.65</v>
      </c>
      <c r="F285" s="3"/>
      <c r="G285" s="130">
        <f t="shared" si="13"/>
        <v>0</v>
      </c>
      <c r="H285" s="40" t="s">
        <v>229</v>
      </c>
      <c r="I285" s="40" t="s">
        <v>230</v>
      </c>
      <c r="J285" s="84"/>
      <c r="K285" s="84"/>
    </row>
    <row r="286" spans="1:16" s="81" customFormat="1" ht="36.75">
      <c r="A286" s="57"/>
      <c r="B286" s="38" t="s">
        <v>17</v>
      </c>
      <c r="C286" s="90" t="s">
        <v>61</v>
      </c>
      <c r="D286" s="53" t="s">
        <v>11</v>
      </c>
      <c r="E286" s="153">
        <f>0.82*0.66*2</f>
        <v>1.0824</v>
      </c>
      <c r="F286" s="3"/>
      <c r="G286" s="130">
        <f t="shared" si="13"/>
        <v>0</v>
      </c>
      <c r="H286" s="40" t="s">
        <v>233</v>
      </c>
      <c r="I286" s="40" t="s">
        <v>232</v>
      </c>
      <c r="J286" s="84"/>
      <c r="K286" s="84"/>
      <c r="L286" s="12"/>
      <c r="P286" s="81" t="s">
        <v>90</v>
      </c>
    </row>
    <row r="287" spans="1:16" s="81" customFormat="1">
      <c r="A287" s="49">
        <v>3</v>
      </c>
      <c r="B287" s="32" t="s">
        <v>5</v>
      </c>
      <c r="C287" s="33" t="s">
        <v>202</v>
      </c>
      <c r="D287" s="50" t="s">
        <v>7</v>
      </c>
      <c r="E287" s="145">
        <v>1</v>
      </c>
      <c r="F287" s="135">
        <f>SUM(G288:G291)</f>
        <v>0</v>
      </c>
      <c r="G287" s="131">
        <f t="shared" si="13"/>
        <v>0</v>
      </c>
      <c r="H287" s="51" t="s">
        <v>8</v>
      </c>
      <c r="I287" s="117"/>
      <c r="J287" s="84"/>
      <c r="K287" s="84"/>
    </row>
    <row r="288" spans="1:16" s="81" customFormat="1" ht="36">
      <c r="A288" s="100" t="s">
        <v>81</v>
      </c>
      <c r="B288" s="53" t="s">
        <v>10</v>
      </c>
      <c r="C288" s="42" t="s">
        <v>203</v>
      </c>
      <c r="D288" s="53" t="s">
        <v>11</v>
      </c>
      <c r="E288" s="146">
        <f>3.5*0.75</f>
        <v>2.625</v>
      </c>
      <c r="F288" s="3"/>
      <c r="G288" s="134">
        <f t="shared" si="13"/>
        <v>0</v>
      </c>
      <c r="H288" s="2" t="s">
        <v>12</v>
      </c>
      <c r="I288" s="40" t="s">
        <v>227</v>
      </c>
      <c r="J288" s="84"/>
      <c r="K288" s="84"/>
    </row>
    <row r="289" spans="1:16" s="81" customFormat="1" ht="72.75">
      <c r="A289" s="101"/>
      <c r="B289" s="53" t="s">
        <v>13</v>
      </c>
      <c r="C289" s="42" t="s">
        <v>274</v>
      </c>
      <c r="D289" s="56" t="s">
        <v>14</v>
      </c>
      <c r="E289" s="146">
        <f>(3.5-0.573-0.572)*0.75*0.85</f>
        <v>1.5013124999999998</v>
      </c>
      <c r="F289" s="3"/>
      <c r="G289" s="130">
        <f t="shared" si="13"/>
        <v>0</v>
      </c>
      <c r="H289" s="40" t="s">
        <v>234</v>
      </c>
      <c r="I289" s="40" t="s">
        <v>228</v>
      </c>
      <c r="J289" s="84"/>
      <c r="K289" s="84"/>
    </row>
    <row r="290" spans="1:16" s="81" customFormat="1" ht="36">
      <c r="A290" s="101"/>
      <c r="B290" s="53" t="s">
        <v>15</v>
      </c>
      <c r="C290" s="42"/>
      <c r="D290" s="53" t="s">
        <v>16</v>
      </c>
      <c r="E290" s="146">
        <f>(0.75+0.85)*2*3+3.5*3</f>
        <v>20.100000000000001</v>
      </c>
      <c r="F290" s="3"/>
      <c r="G290" s="130">
        <f t="shared" si="13"/>
        <v>0</v>
      </c>
      <c r="H290" s="40" t="s">
        <v>229</v>
      </c>
      <c r="I290" s="40" t="s">
        <v>230</v>
      </c>
      <c r="J290" s="84"/>
      <c r="K290" s="84"/>
    </row>
    <row r="291" spans="1:16" s="81" customFormat="1" ht="36.75">
      <c r="A291" s="57"/>
      <c r="B291" s="38" t="s">
        <v>17</v>
      </c>
      <c r="C291" s="90" t="s">
        <v>204</v>
      </c>
      <c r="D291" s="53" t="s">
        <v>11</v>
      </c>
      <c r="E291" s="153">
        <f>(0.573+0.572)*0.66+0.57*0.66</f>
        <v>1.1318999999999999</v>
      </c>
      <c r="F291" s="3"/>
      <c r="G291" s="130">
        <f t="shared" si="13"/>
        <v>0</v>
      </c>
      <c r="H291" s="40" t="s">
        <v>233</v>
      </c>
      <c r="I291" s="40" t="s">
        <v>232</v>
      </c>
      <c r="J291" s="84"/>
      <c r="K291" s="103"/>
      <c r="L291" s="12"/>
      <c r="P291" s="81" t="s">
        <v>90</v>
      </c>
    </row>
    <row r="292" spans="1:16" s="81" customFormat="1" ht="36">
      <c r="A292" s="49">
        <v>4</v>
      </c>
      <c r="B292" s="32" t="s">
        <v>293</v>
      </c>
      <c r="C292" s="32" t="s">
        <v>294</v>
      </c>
      <c r="D292" s="50" t="s">
        <v>20</v>
      </c>
      <c r="E292" s="145">
        <v>1</v>
      </c>
      <c r="F292" s="48"/>
      <c r="G292" s="131">
        <f t="shared" si="13"/>
        <v>0</v>
      </c>
      <c r="H292" s="35" t="s">
        <v>277</v>
      </c>
      <c r="I292" s="35" t="s">
        <v>236</v>
      </c>
      <c r="J292" s="84"/>
      <c r="K292" s="82"/>
    </row>
    <row r="293" spans="1:16" s="81" customFormat="1" ht="24">
      <c r="A293" s="49">
        <v>5</v>
      </c>
      <c r="B293" s="47" t="s">
        <v>297</v>
      </c>
      <c r="C293" s="33" t="s">
        <v>296</v>
      </c>
      <c r="D293" s="50" t="s">
        <v>20</v>
      </c>
      <c r="E293" s="145">
        <v>1</v>
      </c>
      <c r="F293" s="48"/>
      <c r="G293" s="131">
        <f t="shared" si="13"/>
        <v>0</v>
      </c>
      <c r="H293" s="35" t="s">
        <v>276</v>
      </c>
      <c r="I293" s="35" t="s">
        <v>236</v>
      </c>
      <c r="J293" s="84"/>
      <c r="K293" s="82"/>
    </row>
    <row r="294" spans="1:16" s="81" customFormat="1">
      <c r="A294" s="49">
        <v>6</v>
      </c>
      <c r="B294" s="58" t="s">
        <v>28</v>
      </c>
      <c r="C294" s="33" t="s">
        <v>205</v>
      </c>
      <c r="D294" s="50" t="s">
        <v>104</v>
      </c>
      <c r="E294" s="145">
        <v>1</v>
      </c>
      <c r="F294" s="135">
        <f>SUM(G295:G296)</f>
        <v>0</v>
      </c>
      <c r="G294" s="131">
        <f t="shared" si="13"/>
        <v>0</v>
      </c>
      <c r="H294" s="51" t="s">
        <v>178</v>
      </c>
      <c r="I294" s="51"/>
      <c r="J294" s="84"/>
      <c r="K294" s="82"/>
    </row>
    <row r="295" spans="1:16" s="81" customFormat="1">
      <c r="A295" s="107" t="s">
        <v>81</v>
      </c>
      <c r="B295" s="27" t="s">
        <v>28</v>
      </c>
      <c r="C295" s="42" t="s">
        <v>206</v>
      </c>
      <c r="D295" s="56" t="s">
        <v>11</v>
      </c>
      <c r="E295" s="1">
        <f>3.75*0.9</f>
        <v>3.375</v>
      </c>
      <c r="F295" s="6"/>
      <c r="G295" s="134">
        <f t="shared" si="13"/>
        <v>0</v>
      </c>
      <c r="H295" s="118" t="s">
        <v>280</v>
      </c>
      <c r="I295" s="2" t="s">
        <v>284</v>
      </c>
      <c r="J295" s="84"/>
      <c r="K295" s="82"/>
    </row>
    <row r="296" spans="1:16" s="81" customFormat="1">
      <c r="A296" s="107"/>
      <c r="B296" s="39" t="s">
        <v>180</v>
      </c>
      <c r="C296" s="42" t="s">
        <v>207</v>
      </c>
      <c r="D296" s="56" t="s">
        <v>11</v>
      </c>
      <c r="E296" s="1">
        <f>3.75*0.25*2</f>
        <v>1.875</v>
      </c>
      <c r="F296" s="4"/>
      <c r="G296" s="134">
        <f t="shared" si="13"/>
        <v>0</v>
      </c>
      <c r="H296" s="66" t="s">
        <v>254</v>
      </c>
      <c r="I296" s="66" t="s">
        <v>250</v>
      </c>
      <c r="J296" s="84"/>
      <c r="K296" s="82"/>
    </row>
    <row r="297" spans="1:16" s="81" customFormat="1">
      <c r="A297" s="49">
        <v>7</v>
      </c>
      <c r="B297" s="32" t="s">
        <v>149</v>
      </c>
      <c r="C297" s="33" t="s">
        <v>208</v>
      </c>
      <c r="D297" s="50" t="s">
        <v>104</v>
      </c>
      <c r="E297" s="145">
        <v>1</v>
      </c>
      <c r="F297" s="135">
        <f>SUM(G298:G299)</f>
        <v>0</v>
      </c>
      <c r="G297" s="131">
        <f t="shared" si="13"/>
        <v>0</v>
      </c>
      <c r="H297" s="51" t="s">
        <v>80</v>
      </c>
      <c r="I297" s="51"/>
      <c r="J297" s="84"/>
      <c r="K297" s="82"/>
    </row>
    <row r="298" spans="1:16" s="81" customFormat="1" ht="24">
      <c r="A298" s="107" t="s">
        <v>81</v>
      </c>
      <c r="B298" s="53" t="s">
        <v>151</v>
      </c>
      <c r="C298" s="42" t="s">
        <v>208</v>
      </c>
      <c r="D298" s="53" t="s">
        <v>14</v>
      </c>
      <c r="E298" s="159">
        <f>4.5*0.3*0.6</f>
        <v>0.80999999999999994</v>
      </c>
      <c r="F298" s="4"/>
      <c r="G298" s="134">
        <f t="shared" si="13"/>
        <v>0</v>
      </c>
      <c r="H298" s="66" t="s">
        <v>83</v>
      </c>
      <c r="I298" s="64" t="s">
        <v>249</v>
      </c>
      <c r="J298" s="84"/>
      <c r="K298" s="82"/>
    </row>
    <row r="299" spans="1:16" s="81" customFormat="1" ht="24">
      <c r="A299" s="107"/>
      <c r="B299" s="53" t="s">
        <v>84</v>
      </c>
      <c r="C299" s="42" t="s">
        <v>209</v>
      </c>
      <c r="D299" s="56" t="s">
        <v>11</v>
      </c>
      <c r="E299" s="159">
        <f>4.5*0.3</f>
        <v>1.3499999999999999</v>
      </c>
      <c r="F299" s="4"/>
      <c r="G299" s="134">
        <f t="shared" si="13"/>
        <v>0</v>
      </c>
      <c r="H299" s="66" t="s">
        <v>83</v>
      </c>
      <c r="I299" s="64" t="s">
        <v>250</v>
      </c>
      <c r="J299" s="103"/>
      <c r="K299" s="82"/>
    </row>
    <row r="300" spans="1:16" s="81" customFormat="1">
      <c r="A300" s="104" t="s">
        <v>49</v>
      </c>
      <c r="B300" s="104"/>
      <c r="C300" s="104"/>
      <c r="D300" s="104"/>
      <c r="E300" s="104"/>
      <c r="F300" s="104"/>
      <c r="G300" s="104"/>
      <c r="H300" s="104"/>
      <c r="I300" s="29"/>
      <c r="J300" s="80"/>
      <c r="K300" s="80"/>
    </row>
    <row r="301" spans="1:16" s="81" customFormat="1" ht="24">
      <c r="A301" s="49">
        <v>1</v>
      </c>
      <c r="B301" s="76" t="s">
        <v>50</v>
      </c>
      <c r="C301" s="32"/>
      <c r="D301" s="49" t="s">
        <v>20</v>
      </c>
      <c r="E301" s="150">
        <v>13</v>
      </c>
      <c r="F301" s="77"/>
      <c r="G301" s="131">
        <f>E301*F301</f>
        <v>0</v>
      </c>
      <c r="H301" s="51" t="s">
        <v>51</v>
      </c>
      <c r="I301" s="61" t="s">
        <v>33</v>
      </c>
      <c r="J301" s="80"/>
      <c r="K301" s="80"/>
    </row>
    <row r="302" spans="1:16" s="81" customFormat="1" ht="60">
      <c r="A302" s="49">
        <v>2</v>
      </c>
      <c r="B302" s="32" t="s">
        <v>210</v>
      </c>
      <c r="C302" s="32" t="s">
        <v>211</v>
      </c>
      <c r="D302" s="49" t="s">
        <v>167</v>
      </c>
      <c r="E302" s="150">
        <v>6</v>
      </c>
      <c r="F302" s="119"/>
      <c r="G302" s="131">
        <f>E302*F302</f>
        <v>0</v>
      </c>
      <c r="H302" s="120" t="s">
        <v>168</v>
      </c>
      <c r="I302" s="120" t="s">
        <v>268</v>
      </c>
      <c r="J302" s="80"/>
      <c r="K302" s="80"/>
    </row>
    <row r="303" spans="1:16" s="81" customFormat="1" ht="60">
      <c r="A303" s="49">
        <v>3</v>
      </c>
      <c r="B303" s="32" t="s">
        <v>212</v>
      </c>
      <c r="C303" s="32" t="s">
        <v>213</v>
      </c>
      <c r="D303" s="49" t="s">
        <v>167</v>
      </c>
      <c r="E303" s="150">
        <v>10</v>
      </c>
      <c r="F303" s="119"/>
      <c r="G303" s="131">
        <f>E303*F303</f>
        <v>0</v>
      </c>
      <c r="H303" s="120" t="s">
        <v>214</v>
      </c>
      <c r="I303" s="120" t="s">
        <v>268</v>
      </c>
      <c r="J303" s="80"/>
      <c r="K303" s="80"/>
    </row>
    <row r="304" spans="1:16" s="81" customFormat="1" ht="18.75">
      <c r="A304" s="23" t="s">
        <v>215</v>
      </c>
      <c r="B304" s="23"/>
      <c r="C304" s="23"/>
      <c r="D304" s="23"/>
      <c r="E304" s="23"/>
      <c r="F304" s="23"/>
      <c r="G304" s="23"/>
      <c r="H304" s="25"/>
      <c r="I304" s="23"/>
      <c r="J304" s="23"/>
      <c r="K304" s="23"/>
    </row>
    <row r="305" spans="1:16" s="81" customFormat="1" ht="20.25" customHeight="1">
      <c r="A305" s="49">
        <v>1</v>
      </c>
      <c r="B305" s="32" t="s">
        <v>5</v>
      </c>
      <c r="C305" s="33" t="s">
        <v>192</v>
      </c>
      <c r="D305" s="50" t="s">
        <v>7</v>
      </c>
      <c r="E305" s="145">
        <v>1</v>
      </c>
      <c r="F305" s="135">
        <f>SUM(G306:G308)</f>
        <v>0</v>
      </c>
      <c r="G305" s="131">
        <f t="shared" ref="G305:G309" si="14">E305*F305</f>
        <v>0</v>
      </c>
      <c r="H305" s="51" t="s">
        <v>134</v>
      </c>
      <c r="I305" s="69"/>
      <c r="J305" s="70"/>
      <c r="K305" s="70"/>
    </row>
    <row r="306" spans="1:16" s="81" customFormat="1" ht="36">
      <c r="A306" s="100" t="s">
        <v>81</v>
      </c>
      <c r="B306" s="53" t="s">
        <v>10</v>
      </c>
      <c r="C306" s="42" t="s">
        <v>193</v>
      </c>
      <c r="D306" s="53" t="s">
        <v>11</v>
      </c>
      <c r="E306" s="146">
        <f>3*0.75</f>
        <v>2.25</v>
      </c>
      <c r="F306" s="3"/>
      <c r="G306" s="134">
        <f t="shared" si="14"/>
        <v>0</v>
      </c>
      <c r="H306" s="2" t="s">
        <v>12</v>
      </c>
      <c r="I306" s="40" t="s">
        <v>227</v>
      </c>
      <c r="J306" s="71"/>
      <c r="K306" s="71"/>
    </row>
    <row r="307" spans="1:16" s="81" customFormat="1" ht="72.75">
      <c r="A307" s="101"/>
      <c r="B307" s="53" t="s">
        <v>13</v>
      </c>
      <c r="C307" s="42" t="s">
        <v>275</v>
      </c>
      <c r="D307" s="56" t="s">
        <v>14</v>
      </c>
      <c r="E307" s="146">
        <f>(3-0.6*2)*0.75*0.85</f>
        <v>1.1475</v>
      </c>
      <c r="F307" s="3"/>
      <c r="G307" s="130">
        <f t="shared" si="14"/>
        <v>0</v>
      </c>
      <c r="H307" s="40" t="s">
        <v>234</v>
      </c>
      <c r="I307" s="40" t="s">
        <v>228</v>
      </c>
      <c r="J307" s="71"/>
      <c r="K307" s="71"/>
    </row>
    <row r="308" spans="1:16" s="81" customFormat="1" ht="36.75">
      <c r="A308" s="102"/>
      <c r="B308" s="38" t="s">
        <v>17</v>
      </c>
      <c r="C308" s="90" t="s">
        <v>216</v>
      </c>
      <c r="D308" s="53" t="s">
        <v>11</v>
      </c>
      <c r="E308" s="153">
        <f>0.6*0.825*2</f>
        <v>0.98999999999999988</v>
      </c>
      <c r="F308" s="3"/>
      <c r="G308" s="130">
        <f t="shared" si="14"/>
        <v>0</v>
      </c>
      <c r="H308" s="40" t="s">
        <v>233</v>
      </c>
      <c r="I308" s="40" t="s">
        <v>232</v>
      </c>
      <c r="J308" s="73"/>
      <c r="K308" s="73"/>
      <c r="L308" s="12"/>
      <c r="P308" s="81" t="s">
        <v>90</v>
      </c>
    </row>
    <row r="309" spans="1:16" s="81" customFormat="1" ht="24">
      <c r="A309" s="49">
        <v>2</v>
      </c>
      <c r="B309" s="32" t="s">
        <v>50</v>
      </c>
      <c r="C309" s="32"/>
      <c r="D309" s="49" t="s">
        <v>20</v>
      </c>
      <c r="E309" s="150">
        <v>3</v>
      </c>
      <c r="F309" s="119"/>
      <c r="G309" s="131">
        <f t="shared" si="14"/>
        <v>0</v>
      </c>
      <c r="H309" s="51" t="s">
        <v>51</v>
      </c>
      <c r="I309" s="61" t="s">
        <v>33</v>
      </c>
      <c r="J309" s="75"/>
      <c r="K309" s="75"/>
    </row>
    <row r="310" spans="1:16" s="81" customFormat="1">
      <c r="A310" s="121" t="s">
        <v>217</v>
      </c>
      <c r="B310" s="121"/>
      <c r="C310" s="142">
        <f>G310</f>
        <v>0</v>
      </c>
      <c r="D310" s="142"/>
      <c r="E310" s="142"/>
      <c r="F310" s="122" t="s">
        <v>218</v>
      </c>
      <c r="G310" s="141">
        <f>G309+G305+G303+G302+G301+G297+G294+G293+G292+G287+G282+G277+G273+G270+G265+G261+G258+G253+G251+G250+G247+G244+G239+G235+G230+G225+G222+G221+G216+G212+G209+G205+G202+G199+G198+G197+G192+G188+G184+G179+G174+G170+G166+G164+G160+G156+G152+G147+G143+G140+G137+G134+G130+G129+G128+G127+G122+G118+G113+G109+G105+G102+G98+G93+G88+G83+G78+G77+G76+G71+G66+G61+G58+G56+G55+G52+G48+G44+G40+G35+G31+G25+G21+G16+G14+G13+G8</f>
        <v>0</v>
      </c>
      <c r="H310" s="123"/>
      <c r="I310" s="94"/>
      <c r="J310" s="94"/>
      <c r="K310" s="94"/>
    </row>
    <row r="311" spans="1:16" s="81" customFormat="1" ht="27.75" customHeight="1">
      <c r="B311" s="124"/>
      <c r="F311" s="125"/>
      <c r="H311" s="126"/>
    </row>
  </sheetData>
  <sheetProtection algorithmName="SHA-512" hashValue="RW7qY7Drmy/XUp6TFmhyEQydwE8NEVLwt11aa60XWlwN07Ihi1UkFdDHaag5rrEqAI8pc2bRoc79HOBFuDEDJA==" saltValue="4FuwdnsexlkunX1JP4iGuQ==" spinCount="100000" sheet="1" objects="1" scenarios="1" autoFilter="0"/>
  <mergeCells count="177">
    <mergeCell ref="J8:J14"/>
    <mergeCell ref="J16:J24"/>
    <mergeCell ref="J25:J30"/>
    <mergeCell ref="J31:J34"/>
    <mergeCell ref="J35:J47"/>
    <mergeCell ref="J48:J56"/>
    <mergeCell ref="J61:J77"/>
    <mergeCell ref="J78:J81"/>
    <mergeCell ref="J83:J87"/>
    <mergeCell ref="A6:K6"/>
    <mergeCell ref="G2:K2"/>
    <mergeCell ref="G3:K3"/>
    <mergeCell ref="C2:E2"/>
    <mergeCell ref="C3:E3"/>
    <mergeCell ref="C4:E4"/>
    <mergeCell ref="A5:K5"/>
    <mergeCell ref="F4:K4"/>
    <mergeCell ref="K25:K30"/>
    <mergeCell ref="A26:A30"/>
    <mergeCell ref="K31:K34"/>
    <mergeCell ref="A32:A34"/>
    <mergeCell ref="K35:K47"/>
    <mergeCell ref="A36:A39"/>
    <mergeCell ref="A41:A43"/>
    <mergeCell ref="A45:A47"/>
    <mergeCell ref="A1:K1"/>
    <mergeCell ref="K8:K14"/>
    <mergeCell ref="A9:A12"/>
    <mergeCell ref="A15:K15"/>
    <mergeCell ref="K16:K24"/>
    <mergeCell ref="A17:A20"/>
    <mergeCell ref="A22:A24"/>
    <mergeCell ref="A2:B2"/>
    <mergeCell ref="A3:B3"/>
    <mergeCell ref="A4:B4"/>
    <mergeCell ref="K61:K77"/>
    <mergeCell ref="A62:A65"/>
    <mergeCell ref="A67:A70"/>
    <mergeCell ref="A72:A75"/>
    <mergeCell ref="K78:K81"/>
    <mergeCell ref="A79:A82"/>
    <mergeCell ref="K48:K56"/>
    <mergeCell ref="A49:A51"/>
    <mergeCell ref="A53:A54"/>
    <mergeCell ref="A57:G57"/>
    <mergeCell ref="A59:K59"/>
    <mergeCell ref="A60:H60"/>
    <mergeCell ref="K102:K104"/>
    <mergeCell ref="A103:A104"/>
    <mergeCell ref="K105:K108"/>
    <mergeCell ref="A106:A108"/>
    <mergeCell ref="K109:K112"/>
    <mergeCell ref="A110:A112"/>
    <mergeCell ref="K83:K87"/>
    <mergeCell ref="A84:A87"/>
    <mergeCell ref="K88:K92"/>
    <mergeCell ref="A89:A92"/>
    <mergeCell ref="K93:K101"/>
    <mergeCell ref="A94:A97"/>
    <mergeCell ref="A99:A101"/>
    <mergeCell ref="J88:J92"/>
    <mergeCell ref="J93:J101"/>
    <mergeCell ref="J102:J104"/>
    <mergeCell ref="J105:J108"/>
    <mergeCell ref="J109:J112"/>
    <mergeCell ref="K134:K136"/>
    <mergeCell ref="A135:A136"/>
    <mergeCell ref="K137:K139"/>
    <mergeCell ref="A138:A139"/>
    <mergeCell ref="K140:K142"/>
    <mergeCell ref="A141:A142"/>
    <mergeCell ref="K113:K121"/>
    <mergeCell ref="A114:A117"/>
    <mergeCell ref="A119:A121"/>
    <mergeCell ref="K122:K128"/>
    <mergeCell ref="A123:A126"/>
    <mergeCell ref="K130:K133"/>
    <mergeCell ref="A131:A133"/>
    <mergeCell ref="J113:J121"/>
    <mergeCell ref="J122:J128"/>
    <mergeCell ref="J130:J133"/>
    <mergeCell ref="J134:J136"/>
    <mergeCell ref="J137:J139"/>
    <mergeCell ref="J140:J142"/>
    <mergeCell ref="K156:K163"/>
    <mergeCell ref="A157:A158"/>
    <mergeCell ref="A161:A163"/>
    <mergeCell ref="A165:K165"/>
    <mergeCell ref="K166:K169"/>
    <mergeCell ref="A167:A169"/>
    <mergeCell ref="K143:K146"/>
    <mergeCell ref="A144:A146"/>
    <mergeCell ref="K147:K151"/>
    <mergeCell ref="A148:A151"/>
    <mergeCell ref="K152:K155"/>
    <mergeCell ref="A153:A155"/>
    <mergeCell ref="J143:J146"/>
    <mergeCell ref="J147:J151"/>
    <mergeCell ref="J152:J155"/>
    <mergeCell ref="J156:J163"/>
    <mergeCell ref="J166:J169"/>
    <mergeCell ref="A183:H183"/>
    <mergeCell ref="K184:K190"/>
    <mergeCell ref="A185:A186"/>
    <mergeCell ref="A189:A190"/>
    <mergeCell ref="A191:H191"/>
    <mergeCell ref="K192:K198"/>
    <mergeCell ref="A193:A195"/>
    <mergeCell ref="K170:K173"/>
    <mergeCell ref="A171:A173"/>
    <mergeCell ref="K174:K177"/>
    <mergeCell ref="A175:A177"/>
    <mergeCell ref="A178:H178"/>
    <mergeCell ref="K179:K181"/>
    <mergeCell ref="A180:A182"/>
    <mergeCell ref="J170:J173"/>
    <mergeCell ref="J174:J177"/>
    <mergeCell ref="J179:J181"/>
    <mergeCell ref="J184:J190"/>
    <mergeCell ref="J192:J198"/>
    <mergeCell ref="K212:K215"/>
    <mergeCell ref="A213:A215"/>
    <mergeCell ref="K216:K219"/>
    <mergeCell ref="A217:A219"/>
    <mergeCell ref="A220:H220"/>
    <mergeCell ref="A223:K223"/>
    <mergeCell ref="K199:K201"/>
    <mergeCell ref="A200:A201"/>
    <mergeCell ref="K202:K208"/>
    <mergeCell ref="A203:A204"/>
    <mergeCell ref="A206:A208"/>
    <mergeCell ref="K209:K211"/>
    <mergeCell ref="A210:A211"/>
    <mergeCell ref="J199:J201"/>
    <mergeCell ref="J202:J208"/>
    <mergeCell ref="J209:J211"/>
    <mergeCell ref="J212:J215"/>
    <mergeCell ref="J216:J219"/>
    <mergeCell ref="A252:H252"/>
    <mergeCell ref="K253:K263"/>
    <mergeCell ref="A254:A257"/>
    <mergeCell ref="A259:A260"/>
    <mergeCell ref="A262:A263"/>
    <mergeCell ref="A264:H264"/>
    <mergeCell ref="A224:H224"/>
    <mergeCell ref="K225:K238"/>
    <mergeCell ref="A226:A229"/>
    <mergeCell ref="A231:A234"/>
    <mergeCell ref="A236:A238"/>
    <mergeCell ref="K239:K251"/>
    <mergeCell ref="A240:A242"/>
    <mergeCell ref="A245:A246"/>
    <mergeCell ref="A248:A249"/>
    <mergeCell ref="J225:J238"/>
    <mergeCell ref="J239:J251"/>
    <mergeCell ref="J253:J263"/>
    <mergeCell ref="K265:K275"/>
    <mergeCell ref="A266:A269"/>
    <mergeCell ref="A271:A272"/>
    <mergeCell ref="A274:A275"/>
    <mergeCell ref="A276:H276"/>
    <mergeCell ref="K277:K291"/>
    <mergeCell ref="A278:A281"/>
    <mergeCell ref="A283:A286"/>
    <mergeCell ref="A288:A291"/>
    <mergeCell ref="J265:J275"/>
    <mergeCell ref="J277:J299"/>
    <mergeCell ref="A310:B310"/>
    <mergeCell ref="C310:E310"/>
    <mergeCell ref="K292:K299"/>
    <mergeCell ref="A295:A296"/>
    <mergeCell ref="A298:A299"/>
    <mergeCell ref="A300:H300"/>
    <mergeCell ref="A304:K304"/>
    <mergeCell ref="K305:K308"/>
    <mergeCell ref="A306:A308"/>
    <mergeCell ref="J305:J308"/>
  </mergeCells>
  <phoneticPr fontId="12" type="noConversion"/>
  <pageMargins left="0.43263888888888902" right="0.23611111111111099" top="0.23611111111111099" bottom="1" header="0.5" footer="0.5"/>
  <pageSetup paperSize="9" scale="68" fitToHeight="0" orientation="landscape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实验室家具 (2)</vt:lpstr>
      <vt:lpstr>'实验室家具 (2)'!Print_Area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PC-20190716GHGFT</dc:creator>
  <cp:lastModifiedBy>PC</cp:lastModifiedBy>
  <cp:lastPrinted>2021-08-09T08:09:59Z</cp:lastPrinted>
  <dcterms:created xsi:type="dcterms:W3CDTF">2021-07-02T01:50:00Z</dcterms:created>
  <dcterms:modified xsi:type="dcterms:W3CDTF">2021-08-09T08:29:03Z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B39776E2C49248EBAB7798BF51177A04</vt:lpwstr>
  </property>
  <property fmtid="{D5CDD505-2E9C-101B-9397-08002B2CF9AE}" pid="3" name="KSOProductBuildVer">
    <vt:lpwstr>2052-11.1.0.10667</vt:lpwstr>
  </property>
</Properties>
</file>